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SR\Hera3\plugins\HydroPlantsCost\xls\"/>
    </mc:Choice>
  </mc:AlternateContent>
  <xr:revisionPtr revIDLastSave="0" documentId="13_ncr:1_{919FDBFA-3169-40C8-8857-EAFBE42F6B16}" xr6:coauthVersionLast="44" xr6:coauthVersionMax="44" xr10:uidLastSave="{00000000-0000-0000-0000-000000000000}"/>
  <bookViews>
    <workbookView xWindow="-110" yWindow="-110" windowWidth="19420" windowHeight="10560" xr2:uid="{00000000-000D-0000-FFFF-FFFF00000000}"/>
  </bookViews>
  <sheets>
    <sheet name="iocosts" sheetId="16" r:id="rId1"/>
    <sheet name="unit_prices" sheetId="14" r:id="rId2"/>
    <sheet name="summary" sheetId="15" r:id="rId3"/>
    <sheet name="balance" sheetId="17" r:id="rId4"/>
    <sheet name="budget" sheetId="5" r:id="rId5"/>
  </sheets>
  <definedNames>
    <definedName name="_xlnm._FilterDatabase" localSheetId="4" hidden="1">budget!$A$4:$F$369</definedName>
    <definedName name="_xlnm._FilterDatabase" localSheetId="0" hidden="1">iocosts!$A$1:$D$151</definedName>
    <definedName name="_xlnm.Print_Area" localSheetId="4">budget!$A$1:$F$369</definedName>
    <definedName name="_xlnm.Print_Titles" localSheetId="4">budget!$1:$6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6" i="5" l="1"/>
  <c r="D34" i="5"/>
  <c r="D36" i="15" l="1"/>
  <c r="E258" i="5" l="1"/>
  <c r="E98" i="5"/>
  <c r="H262" i="5"/>
  <c r="H260" i="5"/>
  <c r="H290" i="5"/>
  <c r="H288" i="5"/>
  <c r="E286" i="5"/>
  <c r="E234" i="5"/>
  <c r="E305" i="5"/>
  <c r="D245" i="5" l="1"/>
  <c r="F45" i="5" l="1"/>
  <c r="F26" i="5"/>
  <c r="D19" i="5"/>
  <c r="E244" i="5" l="1"/>
  <c r="E245" i="5"/>
  <c r="E44" i="5" l="1"/>
  <c r="D44" i="5"/>
  <c r="F245" i="5" l="1"/>
  <c r="D244" i="5" l="1"/>
  <c r="F244" i="5" s="1"/>
  <c r="F243" i="5" s="1"/>
  <c r="E109" i="5"/>
  <c r="E108" i="5"/>
  <c r="E126" i="5"/>
  <c r="E125" i="5"/>
  <c r="E188" i="5"/>
  <c r="E187" i="5"/>
  <c r="E222" i="5"/>
  <c r="E221" i="5"/>
  <c r="E308" i="5"/>
  <c r="E307" i="5"/>
  <c r="D308" i="5"/>
  <c r="D222" i="5"/>
  <c r="D221" i="5" s="1"/>
  <c r="D188" i="5"/>
  <c r="D187" i="5" s="1"/>
  <c r="D126" i="5"/>
  <c r="D109" i="5"/>
  <c r="E251" i="5"/>
  <c r="F251" i="5" s="1"/>
  <c r="E250" i="5"/>
  <c r="F250" i="5" s="1"/>
  <c r="E249" i="5"/>
  <c r="F249" i="5" s="1"/>
  <c r="E248" i="5"/>
  <c r="E247" i="5"/>
  <c r="D248" i="5"/>
  <c r="D247" i="5"/>
  <c r="F109" i="5" l="1"/>
  <c r="F187" i="5"/>
  <c r="F221" i="5"/>
  <c r="F308" i="5"/>
  <c r="D307" i="5"/>
  <c r="F307" i="5" s="1"/>
  <c r="F222" i="5"/>
  <c r="F126" i="5"/>
  <c r="F188" i="5"/>
  <c r="D125" i="5"/>
  <c r="F125" i="5" s="1"/>
  <c r="D108" i="5"/>
  <c r="F108" i="5" s="1"/>
  <c r="F248" i="5"/>
  <c r="F247" i="5"/>
  <c r="D118" i="5"/>
  <c r="D117" i="5"/>
  <c r="F107" i="5" l="1"/>
  <c r="F124" i="5"/>
  <c r="F186" i="5"/>
  <c r="F220" i="5"/>
  <c r="F306" i="5"/>
  <c r="F246" i="5"/>
  <c r="E36" i="5"/>
  <c r="E34" i="5"/>
  <c r="E29" i="5"/>
  <c r="E30" i="5"/>
  <c r="E31" i="5"/>
  <c r="E28" i="5"/>
  <c r="E19" i="5"/>
  <c r="E17" i="5"/>
  <c r="E10" i="5"/>
  <c r="D29" i="5"/>
  <c r="D30" i="5"/>
  <c r="D31" i="5"/>
  <c r="D28" i="5"/>
  <c r="D17" i="5"/>
  <c r="D10" i="5"/>
  <c r="B29" i="17" l="1"/>
  <c r="B19" i="17"/>
  <c r="B18" i="17"/>
  <c r="B35" i="17" s="1"/>
  <c r="B17" i="17"/>
  <c r="B34" i="17" s="1"/>
  <c r="B11" i="17"/>
  <c r="B9" i="17"/>
  <c r="B28" i="17" s="1"/>
  <c r="B8" i="17"/>
  <c r="B27" i="17" s="1"/>
  <c r="B7" i="17"/>
  <c r="B26" i="17" s="1"/>
  <c r="B6" i="17"/>
  <c r="B16" i="17" s="1"/>
  <c r="B33" i="17" s="1"/>
  <c r="B5" i="17"/>
  <c r="B24" i="17" s="1"/>
  <c r="B26" i="15"/>
  <c r="B57" i="15" s="1"/>
  <c r="E163" i="5"/>
  <c r="B21" i="15"/>
  <c r="B52" i="15" s="1"/>
  <c r="B22" i="15"/>
  <c r="B53" i="15" s="1"/>
  <c r="B23" i="15"/>
  <c r="B54" i="15" s="1"/>
  <c r="B24" i="15"/>
  <c r="B55" i="15" s="1"/>
  <c r="B25" i="15"/>
  <c r="B56" i="15" s="1"/>
  <c r="B6" i="15"/>
  <c r="B7" i="15"/>
  <c r="B8" i="15"/>
  <c r="B39" i="15" s="1"/>
  <c r="B9" i="15"/>
  <c r="B40" i="15" s="1"/>
  <c r="B10" i="15"/>
  <c r="B41" i="15" s="1"/>
  <c r="B11" i="15"/>
  <c r="B42" i="15" s="1"/>
  <c r="B12" i="15"/>
  <c r="B43" i="15" s="1"/>
  <c r="B13" i="15"/>
  <c r="B44" i="15" s="1"/>
  <c r="B14" i="15"/>
  <c r="B45" i="15" s="1"/>
  <c r="B15" i="15"/>
  <c r="B46" i="15" s="1"/>
  <c r="B16" i="15"/>
  <c r="B47" i="15" s="1"/>
  <c r="B17" i="15"/>
  <c r="B48" i="15" s="1"/>
  <c r="B18" i="15"/>
  <c r="B49" i="15" s="1"/>
  <c r="B19" i="15"/>
  <c r="B50" i="15" s="1"/>
  <c r="B20" i="15"/>
  <c r="B51" i="15" s="1"/>
  <c r="B5" i="15"/>
  <c r="B36" i="15" s="1"/>
  <c r="B37" i="15"/>
  <c r="B38" i="15"/>
  <c r="B25" i="17" l="1"/>
  <c r="B15" i="17"/>
  <c r="B32" i="17" s="1"/>
  <c r="C52" i="17"/>
  <c r="C51" i="17"/>
  <c r="C46" i="17"/>
  <c r="C44" i="17"/>
  <c r="C43" i="17"/>
  <c r="D42" i="17"/>
  <c r="D180" i="5" l="1"/>
  <c r="D179" i="5"/>
  <c r="D214" i="5"/>
  <c r="D213" i="5"/>
  <c r="D144" i="5"/>
  <c r="D49" i="15" s="1"/>
  <c r="D8" i="17" s="1"/>
  <c r="D140" i="5"/>
  <c r="D136" i="5"/>
  <c r="D97" i="5"/>
  <c r="D122" i="5"/>
  <c r="D119" i="5"/>
  <c r="D98" i="5"/>
  <c r="D96" i="5"/>
  <c r="D95" i="5"/>
  <c r="D201" i="5" l="1"/>
  <c r="E304" i="5" l="1"/>
  <c r="E303" i="5"/>
  <c r="E301" i="5" l="1"/>
  <c r="E312" i="5" l="1"/>
  <c r="E311" i="5"/>
  <c r="E343" i="5" l="1"/>
  <c r="E341" i="5"/>
  <c r="D343" i="5"/>
  <c r="D341" i="5"/>
  <c r="E113" i="5"/>
  <c r="E112" i="5"/>
  <c r="D112" i="5"/>
  <c r="E111" i="5"/>
  <c r="D111" i="5"/>
  <c r="E130" i="5"/>
  <c r="D130" i="5"/>
  <c r="E131" i="5"/>
  <c r="E129" i="5"/>
  <c r="E128" i="5"/>
  <c r="D129" i="5"/>
  <c r="D128" i="5"/>
  <c r="D279" i="5" l="1"/>
  <c r="D292" i="5" l="1"/>
  <c r="D57" i="15" s="1"/>
  <c r="E292" i="5"/>
  <c r="E279" i="5"/>
  <c r="E294" i="5" l="1"/>
  <c r="E293" i="5"/>
  <c r="D294" i="5"/>
  <c r="D293" i="5"/>
  <c r="E193" i="5" l="1"/>
  <c r="E192" i="5"/>
  <c r="E191" i="5"/>
  <c r="E190" i="5"/>
  <c r="D191" i="5"/>
  <c r="D190" i="5"/>
  <c r="E228" i="5" l="1"/>
  <c r="E227" i="5"/>
  <c r="E226" i="5"/>
  <c r="E225" i="5"/>
  <c r="E224" i="5"/>
  <c r="D225" i="5"/>
  <c r="D224" i="5"/>
  <c r="E335" i="5"/>
  <c r="E334" i="5"/>
  <c r="E320" i="5"/>
  <c r="D320" i="5"/>
  <c r="E324" i="5"/>
  <c r="E323" i="5"/>
  <c r="E322" i="5"/>
  <c r="D323" i="5"/>
  <c r="D322" i="5"/>
  <c r="E79" i="5"/>
  <c r="E68" i="5"/>
  <c r="D304" i="5" l="1"/>
  <c r="D299" i="5"/>
  <c r="D300" i="5"/>
  <c r="D301" i="5"/>
  <c r="D41" i="15" s="1"/>
  <c r="D298" i="5"/>
  <c r="F312" i="5"/>
  <c r="F311" i="5"/>
  <c r="D368" i="5"/>
  <c r="H29" i="15" s="1"/>
  <c r="F310" i="5" l="1"/>
  <c r="H12" i="15" s="1"/>
  <c r="D237" i="5"/>
  <c r="D236" i="5" s="1"/>
  <c r="D234" i="5"/>
  <c r="D233" i="5"/>
  <c r="D232" i="5"/>
  <c r="D261" i="5"/>
  <c r="D258" i="5"/>
  <c r="D289" i="5"/>
  <c r="D286" i="5"/>
  <c r="D284" i="5"/>
  <c r="D285" i="5"/>
  <c r="D283" i="5"/>
  <c r="D276" i="5"/>
  <c r="D271" i="5"/>
  <c r="D272" i="5"/>
  <c r="D273" i="5"/>
  <c r="D270" i="5"/>
  <c r="E273" i="5"/>
  <c r="D305" i="5"/>
  <c r="F304" i="5"/>
  <c r="D303" i="5"/>
  <c r="D265" i="5"/>
  <c r="D256" i="5"/>
  <c r="D257" i="5"/>
  <c r="D255" i="5"/>
  <c r="D241" i="5"/>
  <c r="D240" i="5" s="1"/>
  <c r="E242" i="5"/>
  <c r="E241" i="5"/>
  <c r="E240" i="5"/>
  <c r="E238" i="5"/>
  <c r="E237" i="5"/>
  <c r="E236" i="5"/>
  <c r="D218" i="5"/>
  <c r="D215" i="5"/>
  <c r="E215" i="5"/>
  <c r="F303" i="5" l="1"/>
  <c r="F305" i="5"/>
  <c r="D242" i="5"/>
  <c r="F242" i="5" s="1"/>
  <c r="F241" i="5"/>
  <c r="F240" i="5"/>
  <c r="D238" i="5"/>
  <c r="D184" i="5"/>
  <c r="D181" i="5"/>
  <c r="D173" i="5"/>
  <c r="D169" i="5"/>
  <c r="D170" i="5"/>
  <c r="D168" i="5"/>
  <c r="D164" i="5"/>
  <c r="D54" i="15" s="1"/>
  <c r="D160" i="5"/>
  <c r="D156" i="5"/>
  <c r="D157" i="5"/>
  <c r="D155" i="5"/>
  <c r="D151" i="5"/>
  <c r="D51" i="15" s="1"/>
  <c r="D150" i="5"/>
  <c r="D50" i="15" s="1"/>
  <c r="D9" i="17" s="1"/>
  <c r="D147" i="5"/>
  <c r="D142" i="5"/>
  <c r="D48" i="15" s="1"/>
  <c r="D7" i="17" s="1"/>
  <c r="D143" i="5"/>
  <c r="D47" i="15" s="1"/>
  <c r="D141" i="5"/>
  <c r="D46" i="15" s="1"/>
  <c r="D17" i="17" s="1"/>
  <c r="E138" i="5"/>
  <c r="F239" i="5" l="1"/>
  <c r="D105" i="5"/>
  <c r="D55" i="15" s="1"/>
  <c r="D101" i="5"/>
  <c r="D88" i="5"/>
  <c r="D45" i="15" s="1"/>
  <c r="D87" i="5"/>
  <c r="D44" i="15" s="1"/>
  <c r="D77" i="5"/>
  <c r="D74" i="5"/>
  <c r="D42" i="15" s="1"/>
  <c r="D73" i="5"/>
  <c r="D38" i="15" s="1"/>
  <c r="D72" i="5"/>
  <c r="D37" i="15" s="1"/>
  <c r="D71" i="5"/>
  <c r="D13" i="17" l="1"/>
  <c r="D53" i="15"/>
  <c r="D10" i="17" s="1"/>
  <c r="D3" i="17"/>
  <c r="D6" i="17"/>
  <c r="D16" i="17"/>
  <c r="D14" i="17" s="1"/>
  <c r="D19" i="17" s="1"/>
  <c r="D90" i="5"/>
  <c r="D43" i="15" s="1"/>
  <c r="D4" i="17" l="1"/>
  <c r="D11" i="17" s="1"/>
  <c r="E164" i="5"/>
  <c r="E300" i="5"/>
  <c r="E73" i="5"/>
  <c r="I9" i="16"/>
  <c r="F293" i="5"/>
  <c r="F294" i="5"/>
  <c r="E290" i="5"/>
  <c r="E289" i="5"/>
  <c r="F289" i="5" s="1"/>
  <c r="E288" i="5"/>
  <c r="E284" i="5"/>
  <c r="F284" i="5" s="1"/>
  <c r="E285" i="5"/>
  <c r="F285" i="5" s="1"/>
  <c r="E283" i="5"/>
  <c r="F283" i="5" s="1"/>
  <c r="F292" i="5"/>
  <c r="D290" i="5"/>
  <c r="D288" i="5"/>
  <c r="F286" i="5"/>
  <c r="F279" i="5"/>
  <c r="E277" i="5"/>
  <c r="E276" i="5"/>
  <c r="F276" i="5" s="1"/>
  <c r="E275" i="5"/>
  <c r="E271" i="5"/>
  <c r="F271" i="5" s="1"/>
  <c r="E272" i="5"/>
  <c r="F272" i="5" s="1"/>
  <c r="E270" i="5"/>
  <c r="F270" i="5" s="1"/>
  <c r="D277" i="5"/>
  <c r="D275" i="5"/>
  <c r="F273" i="5"/>
  <c r="E262" i="5"/>
  <c r="E261" i="5"/>
  <c r="F261" i="5" s="1"/>
  <c r="E260" i="5"/>
  <c r="D262" i="5"/>
  <c r="D260" i="5"/>
  <c r="E266" i="5"/>
  <c r="E265" i="5"/>
  <c r="F265" i="5" s="1"/>
  <c r="E264" i="5"/>
  <c r="D266" i="5"/>
  <c r="D264" i="5"/>
  <c r="E257" i="5"/>
  <c r="F257" i="5" s="1"/>
  <c r="E256" i="5"/>
  <c r="F256" i="5" s="1"/>
  <c r="E255" i="5"/>
  <c r="F255" i="5" s="1"/>
  <c r="F258" i="5"/>
  <c r="E203" i="5"/>
  <c r="E202" i="5"/>
  <c r="F202" i="5" s="1"/>
  <c r="E201" i="5"/>
  <c r="E199" i="5"/>
  <c r="F199" i="5" s="1"/>
  <c r="E198" i="5"/>
  <c r="F198" i="5" s="1"/>
  <c r="E197" i="5"/>
  <c r="F197" i="5" s="1"/>
  <c r="E139" i="5"/>
  <c r="E137" i="5"/>
  <c r="E119" i="5"/>
  <c r="F119" i="5" s="1"/>
  <c r="E118" i="5"/>
  <c r="F118" i="5" s="1"/>
  <c r="E117" i="5"/>
  <c r="F117" i="5" s="1"/>
  <c r="F208" i="5"/>
  <c r="F207" i="5"/>
  <c r="F206" i="5"/>
  <c r="F205" i="5"/>
  <c r="D203" i="5"/>
  <c r="D148" i="5"/>
  <c r="D159" i="5"/>
  <c r="D161" i="5"/>
  <c r="D163" i="5"/>
  <c r="D174" i="5"/>
  <c r="D172" i="5"/>
  <c r="D219" i="5"/>
  <c r="D217" i="5"/>
  <c r="D123" i="5"/>
  <c r="E123" i="5"/>
  <c r="E122" i="5"/>
  <c r="F122" i="5" s="1"/>
  <c r="E121" i="5"/>
  <c r="F130" i="5"/>
  <c r="F131" i="5"/>
  <c r="F129" i="5"/>
  <c r="E106" i="5"/>
  <c r="E105" i="5"/>
  <c r="F105" i="5" s="1"/>
  <c r="D24" i="15" s="1"/>
  <c r="E104" i="5"/>
  <c r="F128" i="5"/>
  <c r="D121" i="5"/>
  <c r="D102" i="5"/>
  <c r="D100" i="5"/>
  <c r="D106" i="5"/>
  <c r="D104" i="5"/>
  <c r="D185" i="5"/>
  <c r="D183" i="5"/>
  <c r="E102" i="5"/>
  <c r="E101" i="5"/>
  <c r="F101" i="5" s="1"/>
  <c r="E100" i="5"/>
  <c r="F98" i="5"/>
  <c r="E96" i="5"/>
  <c r="F96" i="5" s="1"/>
  <c r="E97" i="5"/>
  <c r="F97" i="5" s="1"/>
  <c r="E95" i="5"/>
  <c r="F95" i="5" s="1"/>
  <c r="F113" i="5"/>
  <c r="F112" i="5"/>
  <c r="F111" i="5"/>
  <c r="D26" i="15" l="1"/>
  <c r="F278" i="5"/>
  <c r="F196" i="5"/>
  <c r="F291" i="5"/>
  <c r="F277" i="5"/>
  <c r="F290" i="5"/>
  <c r="F288" i="5"/>
  <c r="F282" i="5"/>
  <c r="F275" i="5"/>
  <c r="F269" i="5"/>
  <c r="F94" i="5"/>
  <c r="F262" i="5"/>
  <c r="F260" i="5"/>
  <c r="F266" i="5"/>
  <c r="F264" i="5"/>
  <c r="F254" i="5"/>
  <c r="F201" i="5"/>
  <c r="F203" i="5"/>
  <c r="F204" i="5"/>
  <c r="F116" i="5"/>
  <c r="F127" i="5"/>
  <c r="F121" i="5"/>
  <c r="F123" i="5"/>
  <c r="F110" i="5"/>
  <c r="F104" i="5"/>
  <c r="F106" i="5"/>
  <c r="F102" i="5"/>
  <c r="F100" i="5"/>
  <c r="F86" i="5"/>
  <c r="F164" i="5"/>
  <c r="D23" i="15" s="1"/>
  <c r="E147" i="5"/>
  <c r="F147" i="5" s="1"/>
  <c r="E148" i="5"/>
  <c r="E146" i="5"/>
  <c r="D146" i="5"/>
  <c r="E218" i="5"/>
  <c r="F218" i="5" s="1"/>
  <c r="E219" i="5"/>
  <c r="E217" i="5"/>
  <c r="E214" i="5"/>
  <c r="E213" i="5"/>
  <c r="E299" i="5"/>
  <c r="E298" i="5"/>
  <c r="E233" i="5"/>
  <c r="E232" i="5"/>
  <c r="E160" i="5"/>
  <c r="F160" i="5" s="1"/>
  <c r="E161" i="5"/>
  <c r="E159" i="5"/>
  <c r="E157" i="5"/>
  <c r="F157" i="5" s="1"/>
  <c r="E156" i="5"/>
  <c r="F156" i="5" s="1"/>
  <c r="E155" i="5"/>
  <c r="F155" i="5" s="1"/>
  <c r="E184" i="5"/>
  <c r="E185" i="5"/>
  <c r="E183" i="5"/>
  <c r="E181" i="5"/>
  <c r="E180" i="5"/>
  <c r="E179" i="5"/>
  <c r="E173" i="5"/>
  <c r="E174" i="5"/>
  <c r="E172" i="5"/>
  <c r="E170" i="5"/>
  <c r="E169" i="5"/>
  <c r="E168" i="5"/>
  <c r="E136" i="5"/>
  <c r="E144" i="5"/>
  <c r="E143" i="5"/>
  <c r="E142" i="5"/>
  <c r="E141" i="5"/>
  <c r="E140" i="5"/>
  <c r="E151" i="5"/>
  <c r="E150" i="5"/>
  <c r="E88" i="5"/>
  <c r="F88" i="5" s="1"/>
  <c r="D14" i="15" s="1"/>
  <c r="E87" i="5"/>
  <c r="F87" i="5" s="1"/>
  <c r="D13" i="15" s="1"/>
  <c r="E90" i="5"/>
  <c r="E77" i="5"/>
  <c r="E78" i="5"/>
  <c r="E76" i="5"/>
  <c r="E74" i="5"/>
  <c r="F315" i="5" l="1"/>
  <c r="D139" i="5"/>
  <c r="D40" i="15" s="1"/>
  <c r="D137" i="5"/>
  <c r="D39" i="15" s="1"/>
  <c r="F274" i="5"/>
  <c r="F287" i="5"/>
  <c r="E295" i="5" s="1"/>
  <c r="F295" i="5" s="1"/>
  <c r="F281" i="5" s="1"/>
  <c r="F200" i="5"/>
  <c r="E209" i="5" s="1"/>
  <c r="F259" i="5"/>
  <c r="F263" i="5"/>
  <c r="F99" i="5"/>
  <c r="F103" i="5"/>
  <c r="F120" i="5"/>
  <c r="E132" i="5" s="1"/>
  <c r="F219" i="5"/>
  <c r="F217" i="5"/>
  <c r="F148" i="5"/>
  <c r="F163" i="5"/>
  <c r="F162" i="5" s="1"/>
  <c r="F146" i="5"/>
  <c r="F161" i="5"/>
  <c r="F154" i="5"/>
  <c r="F159" i="5"/>
  <c r="E72" i="5"/>
  <c r="E71" i="5"/>
  <c r="E114" i="5" l="1"/>
  <c r="F114" i="5" s="1"/>
  <c r="F93" i="5" s="1"/>
  <c r="F145" i="5"/>
  <c r="F132" i="5"/>
  <c r="F115" i="5" s="1"/>
  <c r="E267" i="5"/>
  <c r="F267" i="5" s="1"/>
  <c r="F253" i="5" s="1"/>
  <c r="E280" i="5"/>
  <c r="F280" i="5" s="1"/>
  <c r="F268" i="5" s="1"/>
  <c r="F158" i="5"/>
  <c r="E165" i="5" s="1"/>
  <c r="F165" i="5" l="1"/>
  <c r="F153" i="5" s="1"/>
  <c r="E91" i="5" l="1"/>
  <c r="F301" i="5" l="1"/>
  <c r="F300" i="5"/>
  <c r="F234" i="5"/>
  <c r="F139" i="5"/>
  <c r="D9" i="15" s="1"/>
  <c r="F73" i="5"/>
  <c r="F62" i="5"/>
  <c r="F61" i="5"/>
  <c r="F60" i="5"/>
  <c r="F59" i="5"/>
  <c r="F57" i="5"/>
  <c r="F56" i="5"/>
  <c r="F55" i="5"/>
  <c r="F54" i="5"/>
  <c r="F53" i="5"/>
  <c r="F52" i="5"/>
  <c r="F50" i="5"/>
  <c r="F49" i="5"/>
  <c r="F48" i="5"/>
  <c r="F47" i="5"/>
  <c r="F46" i="5"/>
  <c r="F44" i="5"/>
  <c r="F42" i="5"/>
  <c r="F40" i="5"/>
  <c r="F39" i="5"/>
  <c r="F38" i="5"/>
  <c r="F37" i="5"/>
  <c r="F36" i="5"/>
  <c r="F35" i="5"/>
  <c r="F34" i="5"/>
  <c r="F32" i="5"/>
  <c r="F31" i="5"/>
  <c r="F30" i="5"/>
  <c r="F29" i="5"/>
  <c r="F28" i="5"/>
  <c r="F24" i="5"/>
  <c r="F23" i="5"/>
  <c r="F22" i="5"/>
  <c r="F21" i="5"/>
  <c r="F20" i="5"/>
  <c r="F19" i="5"/>
  <c r="F18" i="5"/>
  <c r="F17" i="5"/>
  <c r="F15" i="5"/>
  <c r="F14" i="5"/>
  <c r="F13" i="5"/>
  <c r="F12" i="5"/>
  <c r="F11" i="5"/>
  <c r="F10" i="5"/>
  <c r="F9" i="5" s="1"/>
  <c r="D7" i="15" l="1"/>
  <c r="F58" i="5"/>
  <c r="F33" i="5"/>
  <c r="F27" i="5" s="1"/>
  <c r="F16" i="5"/>
  <c r="E25" i="5" s="1"/>
  <c r="F43" i="5"/>
  <c r="F51" i="5"/>
  <c r="F25" i="5" l="1"/>
  <c r="D76" i="5" l="1"/>
  <c r="D52" i="15" s="1"/>
  <c r="F170" i="5" l="1"/>
  <c r="F191" i="5"/>
  <c r="F192" i="5"/>
  <c r="F193" i="5"/>
  <c r="F190" i="5"/>
  <c r="F68" i="5" l="1"/>
  <c r="F140" i="5"/>
  <c r="D10" i="15" s="1"/>
  <c r="F189" i="5"/>
  <c r="F215" i="5"/>
  <c r="F74" i="5"/>
  <c r="F181" i="5"/>
  <c r="F344" i="5"/>
  <c r="F343" i="5"/>
  <c r="F342" i="5"/>
  <c r="F335" i="5"/>
  <c r="F334" i="5"/>
  <c r="F324" i="5"/>
  <c r="F323" i="5"/>
  <c r="F322" i="5"/>
  <c r="F321" i="5"/>
  <c r="F320" i="5"/>
  <c r="F228" i="5"/>
  <c r="F227" i="5"/>
  <c r="F226" i="5"/>
  <c r="F225" i="5"/>
  <c r="F224" i="5"/>
  <c r="F143" i="5"/>
  <c r="D16" i="15" s="1"/>
  <c r="F142" i="5"/>
  <c r="D17" i="15" s="1"/>
  <c r="F92" i="5"/>
  <c r="F89" i="5"/>
  <c r="D11" i="15" l="1"/>
  <c r="F223" i="5"/>
  <c r="F325" i="5"/>
  <c r="E326" i="5" s="1"/>
  <c r="F326" i="5" s="1"/>
  <c r="E317" i="5" l="1"/>
  <c r="F317" i="5" s="1"/>
  <c r="F319" i="5"/>
  <c r="H13" i="15" s="1"/>
  <c r="F90" i="5"/>
  <c r="D12" i="15" s="1"/>
  <c r="E336" i="5" l="1"/>
  <c r="F336" i="5" s="1"/>
  <c r="F337" i="5" s="1"/>
  <c r="E338" i="5" s="1"/>
  <c r="F338" i="5" s="1"/>
  <c r="F333" i="5" s="1"/>
  <c r="I10" i="16"/>
  <c r="F8" i="5"/>
  <c r="E63" i="5" s="1"/>
  <c r="F299" i="5"/>
  <c r="F233" i="5"/>
  <c r="F169" i="5"/>
  <c r="F214" i="5"/>
  <c r="F138" i="5"/>
  <c r="F72" i="5"/>
  <c r="F180" i="5"/>
  <c r="F137" i="5"/>
  <c r="D8" i="15" s="1"/>
  <c r="F136" i="5"/>
  <c r="F71" i="5"/>
  <c r="F179" i="5"/>
  <c r="F168" i="5"/>
  <c r="F298" i="5"/>
  <c r="F232" i="5"/>
  <c r="F213" i="5"/>
  <c r="E329" i="5"/>
  <c r="F329" i="5" s="1"/>
  <c r="F330" i="5" s="1"/>
  <c r="E331" i="5" s="1"/>
  <c r="F331" i="5" s="1"/>
  <c r="F328" i="5" s="1"/>
  <c r="F150" i="5"/>
  <c r="D19" i="15" s="1"/>
  <c r="F151" i="5"/>
  <c r="D20" i="15" s="1"/>
  <c r="F184" i="5"/>
  <c r="F141" i="5"/>
  <c r="D15" i="15" s="1"/>
  <c r="F144" i="5"/>
  <c r="D18" i="15" s="1"/>
  <c r="F341" i="5"/>
  <c r="F79" i="5"/>
  <c r="F91" i="5"/>
  <c r="F85" i="5" s="1"/>
  <c r="F84" i="5" s="1"/>
  <c r="F238" i="5"/>
  <c r="F185" i="5"/>
  <c r="F174" i="5"/>
  <c r="F77" i="5"/>
  <c r="F237" i="5"/>
  <c r="F173" i="5"/>
  <c r="F236" i="5"/>
  <c r="F183" i="5"/>
  <c r="F172" i="5"/>
  <c r="D22" i="15" l="1"/>
  <c r="D5" i="15"/>
  <c r="D6" i="15"/>
  <c r="H8" i="15"/>
  <c r="I5" i="16" s="1"/>
  <c r="H14" i="15"/>
  <c r="I11" i="16" s="1"/>
  <c r="H15" i="15"/>
  <c r="I12" i="16" s="1"/>
  <c r="H25" i="15"/>
  <c r="I20" i="16" s="1"/>
  <c r="F167" i="5"/>
  <c r="F178" i="5"/>
  <c r="F212" i="5"/>
  <c r="F135" i="5"/>
  <c r="F297" i="5"/>
  <c r="F70" i="5"/>
  <c r="F171" i="5"/>
  <c r="F182" i="5"/>
  <c r="F345" i="5"/>
  <c r="E346" i="5" s="1"/>
  <c r="F346" i="5" s="1"/>
  <c r="F340" i="5" s="1"/>
  <c r="F231" i="5"/>
  <c r="F302" i="5"/>
  <c r="F216" i="5"/>
  <c r="E229" i="5" s="1"/>
  <c r="F235" i="5"/>
  <c r="F149" i="5"/>
  <c r="E252" i="5" l="1"/>
  <c r="E194" i="5"/>
  <c r="E152" i="5"/>
  <c r="F152" i="5" s="1"/>
  <c r="F134" i="5" s="1"/>
  <c r="E309" i="5"/>
  <c r="F309" i="5" s="1"/>
  <c r="F296" i="5" s="1"/>
  <c r="H16" i="15"/>
  <c r="I13" i="16" s="1"/>
  <c r="E175" i="5"/>
  <c r="F175" i="5" s="1"/>
  <c r="F166" i="5" s="1"/>
  <c r="F194" i="5"/>
  <c r="F177" i="5" s="1"/>
  <c r="F229" i="5"/>
  <c r="F211" i="5" s="1"/>
  <c r="F252" i="5" l="1"/>
  <c r="F230" i="5" s="1"/>
  <c r="F210" i="5" s="1"/>
  <c r="H11" i="15" s="1"/>
  <c r="F133" i="5"/>
  <c r="F76" i="5"/>
  <c r="D21" i="15" s="1"/>
  <c r="D78" i="5"/>
  <c r="D56" i="15" s="1"/>
  <c r="H9" i="15" l="1"/>
  <c r="I6" i="16" s="1"/>
  <c r="F78" i="5"/>
  <c r="D25" i="15" s="1"/>
  <c r="I8" i="16" l="1"/>
  <c r="F75" i="5"/>
  <c r="F69" i="5" l="1"/>
  <c r="F80" i="5" s="1"/>
  <c r="E81" i="5" s="1"/>
  <c r="F81" i="5" s="1"/>
  <c r="F67" i="5" l="1"/>
  <c r="H6" i="15" s="1"/>
  <c r="I3" i="16" l="1"/>
  <c r="F209" i="5"/>
  <c r="F195" i="5" s="1"/>
  <c r="F176" i="5" s="1"/>
  <c r="H10" i="15" l="1"/>
  <c r="I7" i="16" s="1"/>
  <c r="F314" i="5"/>
  <c r="E316" i="5" l="1"/>
  <c r="F316" i="5" s="1"/>
  <c r="F83" i="5" s="1"/>
  <c r="H24" i="15" l="1"/>
  <c r="I19" i="16" s="1"/>
  <c r="H7" i="15" l="1"/>
  <c r="I4" i="16" s="1"/>
  <c r="F63" i="5"/>
  <c r="F41" i="5" s="1"/>
  <c r="F64" i="5" s="1"/>
  <c r="E65" i="5" l="1"/>
  <c r="F65" i="5" s="1"/>
  <c r="F7" i="5"/>
  <c r="H5" i="15" l="1"/>
  <c r="F348" i="5"/>
  <c r="I2" i="16" l="1"/>
  <c r="H23" i="15"/>
  <c r="E352" i="5"/>
  <c r="F352" i="5" s="1"/>
  <c r="E357" i="5"/>
  <c r="F357" i="5" s="1"/>
  <c r="E359" i="5"/>
  <c r="F359" i="5" s="1"/>
  <c r="E353" i="5"/>
  <c r="F353" i="5" s="1"/>
  <c r="E358" i="5"/>
  <c r="F358" i="5" s="1"/>
  <c r="E356" i="5"/>
  <c r="F356" i="5" s="1"/>
  <c r="H17" i="15"/>
  <c r="I14" i="16" s="1"/>
  <c r="F351" i="5" l="1"/>
  <c r="F355" i="5"/>
  <c r="F354" i="5" s="1"/>
  <c r="F360" i="5" l="1"/>
  <c r="E361" i="5" l="1"/>
  <c r="F361" i="5" s="1"/>
  <c r="F350" i="5" s="1"/>
  <c r="H18" i="15" l="1"/>
  <c r="F363" i="5"/>
  <c r="H26" i="15" l="1"/>
  <c r="I15" i="16"/>
  <c r="E365" i="5"/>
  <c r="F365" i="5" s="1"/>
  <c r="H20" i="15" s="1"/>
  <c r="H19" i="15"/>
  <c r="I16" i="16" s="1"/>
  <c r="F367" i="5" l="1"/>
  <c r="H21" i="15" s="1"/>
  <c r="I18" i="16" s="1"/>
  <c r="I17" i="16"/>
  <c r="H27" i="15"/>
  <c r="F369" i="5" l="1"/>
  <c r="H30" i="15" s="1"/>
  <c r="I21" i="16" s="1"/>
</calcChain>
</file>

<file path=xl/sharedStrings.xml><?xml version="1.0" encoding="utf-8"?>
<sst xmlns="http://schemas.openxmlformats.org/spreadsheetml/2006/main" count="1775" uniqueCount="942">
  <si>
    <t>ITEM</t>
  </si>
  <si>
    <t>.10.</t>
  </si>
  <si>
    <t>.10.10</t>
  </si>
  <si>
    <t>.10.10.10</t>
  </si>
  <si>
    <t>m²</t>
  </si>
  <si>
    <t>.10.10.10.10</t>
  </si>
  <si>
    <t>ha</t>
  </si>
  <si>
    <t>.10.10.10.11</t>
  </si>
  <si>
    <t>.10.10.10.40</t>
  </si>
  <si>
    <t>.10.10.10.43</t>
  </si>
  <si>
    <t>gl</t>
  </si>
  <si>
    <t>.10.10.10.44</t>
  </si>
  <si>
    <t>.10.10.10.17</t>
  </si>
  <si>
    <t>.10.10.11</t>
  </si>
  <si>
    <t>.10.10.11.10</t>
  </si>
  <si>
    <t>.10.10.11.11</t>
  </si>
  <si>
    <t>.10.10.11.40</t>
  </si>
  <si>
    <t>.10.10.11.41</t>
  </si>
  <si>
    <t>.10.10.11.42</t>
  </si>
  <si>
    <t>.10.10.11.43</t>
  </si>
  <si>
    <t>.10.10.11.44</t>
  </si>
  <si>
    <t>.10.10.11.17</t>
  </si>
  <si>
    <t>.10.10.12</t>
  </si>
  <si>
    <t>%</t>
  </si>
  <si>
    <t>.10.10.13</t>
  </si>
  <si>
    <t>.10.11</t>
  </si>
  <si>
    <t>.10.11.14</t>
  </si>
  <si>
    <t>km</t>
  </si>
  <si>
    <t>.10.11.15</t>
  </si>
  <si>
    <t>.10.11.16</t>
  </si>
  <si>
    <t>.10.11.18</t>
  </si>
  <si>
    <t>.10.11.19</t>
  </si>
  <si>
    <t>.10.11.20</t>
  </si>
  <si>
    <t>.10.11.20.41</t>
  </si>
  <si>
    <t>.10.11.20.42</t>
  </si>
  <si>
    <t>.10.11.20.43</t>
  </si>
  <si>
    <t>.10.11.20.44</t>
  </si>
  <si>
    <t>.10.11.20.17</t>
  </si>
  <si>
    <t>.10.11.21</t>
  </si>
  <si>
    <t>.10.11.13</t>
  </si>
  <si>
    <t>.10.15</t>
  </si>
  <si>
    <t>.10.15.44</t>
  </si>
  <si>
    <t>.10.15.45</t>
  </si>
  <si>
    <t>.10.15.45.18</t>
  </si>
  <si>
    <t>.10.15.45.40</t>
  </si>
  <si>
    <t>.10.15.45.45</t>
  </si>
  <si>
    <t>.10.15.45.46</t>
  </si>
  <si>
    <t>.10.15.45.47</t>
  </si>
  <si>
    <t>.10.15.45.48</t>
  </si>
  <si>
    <t>.10.15.45.17</t>
  </si>
  <si>
    <t>.10.15.46</t>
  </si>
  <si>
    <t>.10.15.46.42</t>
  </si>
  <si>
    <t>.10.15.46.49</t>
  </si>
  <si>
    <t>.10.15.46.50</t>
  </si>
  <si>
    <t>.10.15.46.51</t>
  </si>
  <si>
    <t>.10.15.46.52</t>
  </si>
  <si>
    <t>.10.15.46.17</t>
  </si>
  <si>
    <t>.10.15.47</t>
  </si>
  <si>
    <t>.10.15.47.53</t>
  </si>
  <si>
    <t>.10.15.47.55</t>
  </si>
  <si>
    <t>.10.15.47.17</t>
  </si>
  <si>
    <t>.10.15.48</t>
  </si>
  <si>
    <t>.10.15.13</t>
  </si>
  <si>
    <t>.10.27</t>
  </si>
  <si>
    <t>.11.</t>
  </si>
  <si>
    <t>.11.12</t>
  </si>
  <si>
    <t>.11.13</t>
  </si>
  <si>
    <t>.11.13.00.12</t>
  </si>
  <si>
    <t>.11.13.00.12.10</t>
  </si>
  <si>
    <t>m³</t>
  </si>
  <si>
    <t>.11.13.00.12.11</t>
  </si>
  <si>
    <t>.11.13.00.12.12</t>
  </si>
  <si>
    <t xml:space="preserve">.11.13.00.13   </t>
  </si>
  <si>
    <t>.11.13.00.14</t>
  </si>
  <si>
    <t>.11.13.00.14.13</t>
  </si>
  <si>
    <t>t</t>
  </si>
  <si>
    <t>.11.13.00.14.14</t>
  </si>
  <si>
    <t>.11.13.00.14.15</t>
  </si>
  <si>
    <t>.11.13.00.15</t>
  </si>
  <si>
    <t>.11.27</t>
  </si>
  <si>
    <t>.12.</t>
  </si>
  <si>
    <t>.12.16</t>
  </si>
  <si>
    <t>.12.16.22</t>
  </si>
  <si>
    <t>.12.16.22.19</t>
  </si>
  <si>
    <t>.12.16.22.20</t>
  </si>
  <si>
    <t>.12.16.22.21</t>
  </si>
  <si>
    <t>.12.16.22.22</t>
  </si>
  <si>
    <t>.12.16.22.56</t>
  </si>
  <si>
    <t>.12.16.23</t>
  </si>
  <si>
    <t>un</t>
  </si>
  <si>
    <t>.12.17</t>
  </si>
  <si>
    <t>.12.17.25</t>
  </si>
  <si>
    <t>.12.17.25.12</t>
  </si>
  <si>
    <t>.12.17.25.12.10</t>
  </si>
  <si>
    <t>.12.17.25.12.11</t>
  </si>
  <si>
    <t>.12.17.25.13</t>
  </si>
  <si>
    <t>.12.17.25.24</t>
  </si>
  <si>
    <t>.12.17.25.25</t>
  </si>
  <si>
    <t>.12.17.25.26</t>
  </si>
  <si>
    <t>.12.17.25.29</t>
  </si>
  <si>
    <t>.12.17.25.27</t>
  </si>
  <si>
    <t>.12.17.25.27.13</t>
  </si>
  <si>
    <t>.12.17.25.27.14</t>
  </si>
  <si>
    <t>.12.17.25.32</t>
  </si>
  <si>
    <t>.12.17.25.32.18</t>
  </si>
  <si>
    <t>.12.17.25.32.19</t>
  </si>
  <si>
    <t>.12.17.25.17</t>
  </si>
  <si>
    <t>.12.17.26</t>
  </si>
  <si>
    <t>.12.17.27</t>
  </si>
  <si>
    <t>.12.17.27.12</t>
  </si>
  <si>
    <t>.12.17.27.12.10</t>
  </si>
  <si>
    <t>.12.17.27.12.11</t>
  </si>
  <si>
    <t>.12.17.27.13</t>
  </si>
  <si>
    <t>.12.17.27.14</t>
  </si>
  <si>
    <t>.12.17.27.14.13</t>
  </si>
  <si>
    <t>.12.17.27.14.14</t>
  </si>
  <si>
    <t>.12.17.27.14.15</t>
  </si>
  <si>
    <t>.12.17.27.17</t>
  </si>
  <si>
    <t>.12.18</t>
  </si>
  <si>
    <t>.12.18.28</t>
  </si>
  <si>
    <t>.12.18.28.12</t>
  </si>
  <si>
    <t>.12.18.28.12.10</t>
  </si>
  <si>
    <t>.12.18.28.12.11</t>
  </si>
  <si>
    <t>.12.18.28.13</t>
  </si>
  <si>
    <t>.12.18.28.14</t>
  </si>
  <si>
    <t>.12.18.28.14.13</t>
  </si>
  <si>
    <t>.12.18.28.14.14</t>
  </si>
  <si>
    <t>.12.18.28.14.15</t>
  </si>
  <si>
    <t>.12.18.28.23</t>
  </si>
  <si>
    <t>.12.18.28.23.16</t>
  </si>
  <si>
    <t>.12.18.28.23.56</t>
  </si>
  <si>
    <t>.12.18.28.23.17</t>
  </si>
  <si>
    <t>.12.18.28.23.20</t>
  </si>
  <si>
    <t>.12.18.28.17</t>
  </si>
  <si>
    <t>.12.18.29</t>
  </si>
  <si>
    <t>.12.19</t>
  </si>
  <si>
    <t>.12.19.30</t>
  </si>
  <si>
    <t>.12.19.30.12</t>
  </si>
  <si>
    <t>.12.19.30.12.10</t>
  </si>
  <si>
    <t>.12.19.30.12.11</t>
  </si>
  <si>
    <t>.12.19.30.13</t>
  </si>
  <si>
    <t>.12.19.30.14</t>
  </si>
  <si>
    <t>.12.19.30.14.13</t>
  </si>
  <si>
    <t>.12.19.30.14.14</t>
  </si>
  <si>
    <t>.12.19.30.14.15</t>
  </si>
  <si>
    <t>.12.19.30.23</t>
  </si>
  <si>
    <t>.12.19.30.23.16</t>
  </si>
  <si>
    <t>.12.19.30.23.17</t>
  </si>
  <si>
    <t>.12.19.30.23.56</t>
  </si>
  <si>
    <t>.12.19.30.23.20</t>
  </si>
  <si>
    <t>.12.19.30.23.21</t>
  </si>
  <si>
    <t>.12.19.30.17</t>
  </si>
  <si>
    <t>.12.19.31</t>
  </si>
  <si>
    <t>.12.19.31.12</t>
  </si>
  <si>
    <t>.12.19.31.12.10</t>
  </si>
  <si>
    <t>.12.19.31.12.11</t>
  </si>
  <si>
    <t>.12.19.31.13</t>
  </si>
  <si>
    <t>.12.19.31.14</t>
  </si>
  <si>
    <t>.12.19.31.14.13</t>
  </si>
  <si>
    <t>.12.19.31.14.14</t>
  </si>
  <si>
    <t>.12.19.31.14.15</t>
  </si>
  <si>
    <t>.12.19.31.17</t>
  </si>
  <si>
    <t>.12.19.32</t>
  </si>
  <si>
    <t>.12.19.33</t>
  </si>
  <si>
    <t>.12.19.35</t>
  </si>
  <si>
    <t>.12.19.35.12</t>
  </si>
  <si>
    <t>.12.19.35.12.10</t>
  </si>
  <si>
    <t>.12.19.35.12.11</t>
  </si>
  <si>
    <t>.12.19.35.12.12</t>
  </si>
  <si>
    <t>.12.19.35.13</t>
  </si>
  <si>
    <t>.12.19.35.14</t>
  </si>
  <si>
    <t>.12.19.35.14.13</t>
  </si>
  <si>
    <t>.12.19.35.14.14</t>
  </si>
  <si>
    <t>.12.19.35.14.15</t>
  </si>
  <si>
    <t>.12.19.35.17</t>
  </si>
  <si>
    <t>.12.20</t>
  </si>
  <si>
    <t>.12.20.36</t>
  </si>
  <si>
    <t>.12.20.37</t>
  </si>
  <si>
    <t>.12.27.98</t>
  </si>
  <si>
    <t>.12.27.99</t>
  </si>
  <si>
    <t>.13.</t>
  </si>
  <si>
    <t>.13.13.00.23.17</t>
  </si>
  <si>
    <t>.13.13.00.23.20</t>
  </si>
  <si>
    <t>.13.13.00.23.28</t>
  </si>
  <si>
    <t>.13.13.00.23.29</t>
  </si>
  <si>
    <t>.13.13.00.23.56</t>
  </si>
  <si>
    <t>.13.27</t>
  </si>
  <si>
    <t>.14.</t>
  </si>
  <si>
    <t>.14.00.00.23.30</t>
  </si>
  <si>
    <t>.14.27</t>
  </si>
  <si>
    <t>.15.</t>
  </si>
  <si>
    <t>.15.13.00.23.20</t>
  </si>
  <si>
    <t>.15.00.00.23.31</t>
  </si>
  <si>
    <t>.15.27</t>
  </si>
  <si>
    <t>.16.</t>
  </si>
  <si>
    <t>.16.00.14</t>
  </si>
  <si>
    <t>.16.00.15</t>
  </si>
  <si>
    <t>.16.00.16</t>
  </si>
  <si>
    <t>.16.00.17</t>
  </si>
  <si>
    <t>.16.27</t>
  </si>
  <si>
    <t>.17.</t>
  </si>
  <si>
    <t>.17.21</t>
  </si>
  <si>
    <t>.17.21.38</t>
  </si>
  <si>
    <t>.17.21.39</t>
  </si>
  <si>
    <t>.17.22</t>
  </si>
  <si>
    <t>.17.22.40</t>
  </si>
  <si>
    <t>.17.22.40.36</t>
  </si>
  <si>
    <t>.17.22.40.37</t>
  </si>
  <si>
    <t>.17.22.40.54</t>
  </si>
  <si>
    <t>.17.22.41</t>
  </si>
  <si>
    <t>.17.27</t>
  </si>
  <si>
    <t>.18.</t>
  </si>
  <si>
    <t>kW</t>
  </si>
  <si>
    <r>
      <t>m</t>
    </r>
    <r>
      <rPr>
        <vertAlign val="superscript"/>
        <sz val="9"/>
        <rFont val="Arial"/>
        <family val="2"/>
      </rPr>
      <t>3</t>
    </r>
  </si>
  <si>
    <r>
      <t>m</t>
    </r>
    <r>
      <rPr>
        <vertAlign val="superscript"/>
        <sz val="9"/>
        <rFont val="Arial"/>
        <family val="2"/>
      </rPr>
      <t>2</t>
    </r>
  </si>
  <si>
    <t>.12.16.24</t>
  </si>
  <si>
    <t>.12.19.34</t>
  </si>
  <si>
    <t>-</t>
  </si>
  <si>
    <t>MW</t>
  </si>
  <si>
    <t>.12.16.22.12</t>
  </si>
  <si>
    <t>.12.17.26.12</t>
  </si>
  <si>
    <t>.12.17.26.12.10</t>
  </si>
  <si>
    <t>.12.17.26.12.11</t>
  </si>
  <si>
    <t>.12.17.26.13</t>
  </si>
  <si>
    <t>.12.17.26.14</t>
  </si>
  <si>
    <t>.12.17.26.14.13</t>
  </si>
  <si>
    <t>.12.17.26.14.14</t>
  </si>
  <si>
    <t>.12.17.26.14.15</t>
  </si>
  <si>
    <t>.12.17.26.17</t>
  </si>
  <si>
    <t>.12.17.26.15</t>
  </si>
  <si>
    <t>.12.17.26.15.13</t>
  </si>
  <si>
    <t>.12.17.26.15.14</t>
  </si>
  <si>
    <t>.12.17.25.27.15</t>
  </si>
  <si>
    <t>.12.16.23.12</t>
  </si>
  <si>
    <t>.12.16.23.12.10</t>
  </si>
  <si>
    <t>.12.16.23.12.11</t>
  </si>
  <si>
    <t>.12.16.23.13</t>
  </si>
  <si>
    <t>.12.16.23.14</t>
  </si>
  <si>
    <t>.12.16.23.14.13</t>
  </si>
  <si>
    <t>.12.16.23.14.14</t>
  </si>
  <si>
    <t>.12.16.23.14.15</t>
  </si>
  <si>
    <t>.12.16.23.23</t>
  </si>
  <si>
    <t>.12.16.23.23.16</t>
  </si>
  <si>
    <t>.12.16.23.23.17</t>
  </si>
  <si>
    <t>.12.16.23.23.56</t>
  </si>
  <si>
    <t>.12.16.23.17</t>
  </si>
  <si>
    <t>.12.16.23.12.12</t>
  </si>
  <si>
    <t>.12.16.24.12</t>
  </si>
  <si>
    <t>.12.16.24.12.10</t>
  </si>
  <si>
    <t>.12.16.24.12.11</t>
  </si>
  <si>
    <t>.12.16.24.13</t>
  </si>
  <si>
    <t>.12.16.24.14</t>
  </si>
  <si>
    <t>.12.16.24.14.13</t>
  </si>
  <si>
    <t>.12.16.24.14.14</t>
  </si>
  <si>
    <t>.12.16.24.14.15</t>
  </si>
  <si>
    <t>.12.16.24.23</t>
  </si>
  <si>
    <t>.12.16.24.23.16</t>
  </si>
  <si>
    <t>.12.16.24.23.56</t>
  </si>
  <si>
    <t>.12.16.24.23.17</t>
  </si>
  <si>
    <t>.12.16.24.17</t>
  </si>
  <si>
    <t>.12.18.29.12</t>
  </si>
  <si>
    <t>.12.18.29.12.10</t>
  </si>
  <si>
    <t>.12.18.29.12.11</t>
  </si>
  <si>
    <t>.12.18.29.13</t>
  </si>
  <si>
    <t>.12.18.29.14</t>
  </si>
  <si>
    <t>.12.18.29.14.13</t>
  </si>
  <si>
    <t>.12.18.29.14.14</t>
  </si>
  <si>
    <t>.12.18.29.14.15</t>
  </si>
  <si>
    <t>.12.18.29.23</t>
  </si>
  <si>
    <t>.12.18.29.23.16</t>
  </si>
  <si>
    <t>.12.18.29.23.17</t>
  </si>
  <si>
    <t>.12.18.29.23.20</t>
  </si>
  <si>
    <t>.12.18.29.23.56</t>
  </si>
  <si>
    <t>.12.18.29.17</t>
  </si>
  <si>
    <t>.12.19.31.12.12</t>
  </si>
  <si>
    <t>.12.19.30.23.23</t>
  </si>
  <si>
    <t>.12.19.30.23.24</t>
  </si>
  <si>
    <t>~IN</t>
  </si>
  <si>
    <t>~OUT</t>
  </si>
  <si>
    <t>m</t>
  </si>
  <si>
    <t>BQE</t>
  </si>
  <si>
    <t>ELB</t>
  </si>
  <si>
    <t xml:space="preserve">1,10 </t>
  </si>
  <si>
    <t>rocha</t>
  </si>
  <si>
    <t>brita</t>
  </si>
  <si>
    <t>Referências</t>
  </si>
  <si>
    <t>enr_inst_cpcy_p</t>
  </si>
  <si>
    <t>pwh_strc_rkex_m3</t>
  </si>
  <si>
    <t>pwh_strc_slex_m3</t>
  </si>
  <si>
    <t>pwh_strc_trtm_m2</t>
  </si>
  <si>
    <t>pwh_strc_conc_m3</t>
  </si>
  <si>
    <t>pwh_misc_ldev_ct</t>
  </si>
  <si>
    <t>pwh_misc_inst_ct</t>
  </si>
  <si>
    <t>pwh_turb_totl_n</t>
  </si>
  <si>
    <t>pwh_turb_0000_ct</t>
  </si>
  <si>
    <t>pwh_genr_totl_n</t>
  </si>
  <si>
    <t>pwh_genr_0000_ct</t>
  </si>
  <si>
    <t>pwh_dtub_slog_n</t>
  </si>
  <si>
    <t>pwh_dtub_slog_ct</t>
  </si>
  <si>
    <t>pwh_dtub_fwgt_n</t>
  </si>
  <si>
    <t>pwh_dtub_fwgt_ct</t>
  </si>
  <si>
    <t>pwh_strc_brdg_ct</t>
  </si>
  <si>
    <t>pwh_dtub_gtry_ct</t>
  </si>
  <si>
    <t>pwh_dtub_embp_ct</t>
  </si>
  <si>
    <t>div_cfd1_fill_m3</t>
  </si>
  <si>
    <t>div_cfd2_fill_m3</t>
  </si>
  <si>
    <t>div_tund_trtm_m2</t>
  </si>
  <si>
    <t>div_tund_conc_m3</t>
  </si>
  <si>
    <t>div_tund_shot_m3</t>
  </si>
  <si>
    <t>div_tund_fwgt_n</t>
  </si>
  <si>
    <t>div_tund_fwgt_ct</t>
  </si>
  <si>
    <t>div_tund_slog_n</t>
  </si>
  <si>
    <t>div_tund_slog_ct</t>
  </si>
  <si>
    <t>div_tund_embp_ct</t>
  </si>
  <si>
    <t>div_g0s0_fwgt_n</t>
  </si>
  <si>
    <t>div_g0s0_fwgt_ct</t>
  </si>
  <si>
    <t>div_g0s0_slog_n</t>
  </si>
  <si>
    <t>div_g0s0_slog_ct</t>
  </si>
  <si>
    <t>div_slui_slog_n</t>
  </si>
  <si>
    <t>div_slui_slog_ct</t>
  </si>
  <si>
    <t>div_g0s0_embp_ct</t>
  </si>
  <si>
    <t>dam_eart_fill_m3</t>
  </si>
  <si>
    <t>dam_rock_fill_m3</t>
  </si>
  <si>
    <t>dam_rock_clay_m3</t>
  </si>
  <si>
    <t>dam_rock_conc_m3</t>
  </si>
  <si>
    <t>dam_eart_ripr_m3</t>
  </si>
  <si>
    <t>dam_eart_prot_m2</t>
  </si>
  <si>
    <t>dam_conc_slex_m3</t>
  </si>
  <si>
    <t>dam_conc_rkex_m3</t>
  </si>
  <si>
    <t>dam_conc_trtm_m2</t>
  </si>
  <si>
    <t>dam_conc_conc_m3</t>
  </si>
  <si>
    <t>dam_conc_hcr0_m3</t>
  </si>
  <si>
    <t>dam_trwl_slex_m3</t>
  </si>
  <si>
    <t>dam_trwl_rkex_m3</t>
  </si>
  <si>
    <t>dam_trwl_trtm_m2</t>
  </si>
  <si>
    <t>dam_trwl_conc_m3</t>
  </si>
  <si>
    <t>spw_totl_slex_m3</t>
  </si>
  <si>
    <t>spw_totl_rkex_m3</t>
  </si>
  <si>
    <t>spw_totl_trtm_m2</t>
  </si>
  <si>
    <t>spw_totl_conc_m3</t>
  </si>
  <si>
    <t>spw_ogee_segm_n</t>
  </si>
  <si>
    <t>spw_ogee_segm_ct</t>
  </si>
  <si>
    <t>spw_ogee_slog_n</t>
  </si>
  <si>
    <t>spw_ogee_slog_ct</t>
  </si>
  <si>
    <t>spw_ogee_cran_ct</t>
  </si>
  <si>
    <t>spw_ogee_embp_ct</t>
  </si>
  <si>
    <t>hsy_intk_slex_m3</t>
  </si>
  <si>
    <t>hsy_intk_rkex_m3</t>
  </si>
  <si>
    <t>hsy_intk_trtm_m2</t>
  </si>
  <si>
    <t>hsy_intk_conc_m3</t>
  </si>
  <si>
    <t>hsy_intk_fwgt_n</t>
  </si>
  <si>
    <t>hsy_intk_fwgt_ct</t>
  </si>
  <si>
    <t>hsy_intk_slog_n</t>
  </si>
  <si>
    <t>hsy_intk_slog_ct</t>
  </si>
  <si>
    <t>hsy_intk_cran_ct</t>
  </si>
  <si>
    <t>hsy_intk_rack_ct</t>
  </si>
  <si>
    <t>hsy_intk_embp_ct</t>
  </si>
  <si>
    <t>hsy_chan_slex_m3</t>
  </si>
  <si>
    <t>hsy_fbay_slex_m3</t>
  </si>
  <si>
    <t>hsy_chan_rkex_m3</t>
  </si>
  <si>
    <t>hsy_fbay_rkex_m3</t>
  </si>
  <si>
    <t>hsy_chan_trtm_m2</t>
  </si>
  <si>
    <t>hsy_fbay_trtm_m2</t>
  </si>
  <si>
    <t>hsy_chan_conc_m3</t>
  </si>
  <si>
    <t>hsy_fbay_conc_m3</t>
  </si>
  <si>
    <t>hsy_chan_shot_m3</t>
  </si>
  <si>
    <t>hsy_tunl_trtm_m2</t>
  </si>
  <si>
    <t>hsy_tunl_conc_m3</t>
  </si>
  <si>
    <t>hsy_tunl_shot_m3</t>
  </si>
  <si>
    <t>hsy_stnk_slex_m3</t>
  </si>
  <si>
    <t>hsy_stnk_rkex_m3</t>
  </si>
  <si>
    <t>hsy_stnk_trtm_m2</t>
  </si>
  <si>
    <t>hsy_stnk_conc_m3</t>
  </si>
  <si>
    <t>hsy_pstk_stee_t</t>
  </si>
  <si>
    <t>hsy_pstk_slex_m3</t>
  </si>
  <si>
    <t>hsy_pstk_rkex_m3</t>
  </si>
  <si>
    <t>hsy_tunp_trtm_m2</t>
  </si>
  <si>
    <t>hsy_pstk_trtm_m2</t>
  </si>
  <si>
    <t>hsy_tunp_conc_m3</t>
  </si>
  <si>
    <t>hsy_pstk_conc_m3</t>
  </si>
  <si>
    <t>pwh_valv_bfly_n</t>
  </si>
  <si>
    <t>pwh_valv_bfly_ct</t>
  </si>
  <si>
    <t>pwh_valv_sphr_n</t>
  </si>
  <si>
    <t>pwh_valv_sphr_ct</t>
  </si>
  <si>
    <t>hsy_trce_slex_m3</t>
  </si>
  <si>
    <t>hsy_trce_rkex_m3</t>
  </si>
  <si>
    <t>hsy_trce_trtm_m2</t>
  </si>
  <si>
    <t>hsy_trce_conc_m3</t>
  </si>
  <si>
    <t>oth_port_lock_ct</t>
  </si>
  <si>
    <t>oth_fish_tran_ct</t>
  </si>
  <si>
    <t>oth_accs_road_l</t>
  </si>
  <si>
    <t>oth_accs_brdg_l</t>
  </si>
  <si>
    <t>bdg_1000_envr_ct</t>
  </si>
  <si>
    <t>bdg_1100_pwhc_ct</t>
  </si>
  <si>
    <t>bdg_1200_dmhs_ct</t>
  </si>
  <si>
    <t>bdg_1210_div0_ct</t>
  </si>
  <si>
    <t>bdg_1220_dam0_ct</t>
  </si>
  <si>
    <t>bdg_1230_spw0_ct</t>
  </si>
  <si>
    <t>bdg_1240_hsy0_ct</t>
  </si>
  <si>
    <t>bdg_1250_oth0_ct</t>
  </si>
  <si>
    <t>bdg_1300_eqp0_ct</t>
  </si>
  <si>
    <t>bdg_1400_elet_ct</t>
  </si>
  <si>
    <t>bdg_1500_mech_ct</t>
  </si>
  <si>
    <t>bdg_1600_road_ct</t>
  </si>
  <si>
    <t>bdg_1700_indt_ct</t>
  </si>
  <si>
    <t>bdg_1800_intr_ct</t>
  </si>
  <si>
    <t>bdg_totl_0000_ct</t>
  </si>
  <si>
    <t>bdg_totl_civl_ct</t>
  </si>
  <si>
    <t>bdg_totl_drct_ct</t>
  </si>
  <si>
    <t>bdg_totl_eqp0_ct</t>
  </si>
  <si>
    <t>bdg_totl_indx_ct</t>
  </si>
  <si>
    <t>bdg_totl_intr_ct</t>
  </si>
  <si>
    <t>hsy_lpps_slex_m3</t>
  </si>
  <si>
    <t>hsy_lpps_rkex_m3</t>
  </si>
  <si>
    <t>hsy_lpps_trtm_m2</t>
  </si>
  <si>
    <t>hsy_lpps_conc_m3</t>
  </si>
  <si>
    <t>div_tund_ugex_m3</t>
  </si>
  <si>
    <t>hsy_tunl_ugex_m3</t>
  </si>
  <si>
    <t>hsy_stnk_ugex_m3</t>
  </si>
  <si>
    <t>hsy_tunp_ugex_m3</t>
  </si>
  <si>
    <t>hsy_trce_ugex_m3</t>
  </si>
  <si>
    <t>pwh_strc_ugex_m3</t>
  </si>
  <si>
    <t>div_chan_slex_m3</t>
  </si>
  <si>
    <t>div_chan_rkex_m3</t>
  </si>
  <si>
    <t>div_chan_regc_m3</t>
  </si>
  <si>
    <t>div_gall_rkex_m3</t>
  </si>
  <si>
    <t>div_gall_trtm_m2</t>
  </si>
  <si>
    <t>div_gall_conc_m3</t>
  </si>
  <si>
    <t>div_slui_rkex_m3</t>
  </si>
  <si>
    <t>div_slui_trtm_m2</t>
  </si>
  <si>
    <t>div_slui_conc_m3</t>
  </si>
  <si>
    <t>dam_eart_slex_m3</t>
  </si>
  <si>
    <t>dam_eart_trtm_m2</t>
  </si>
  <si>
    <t>dam_rock_slex_m3</t>
  </si>
  <si>
    <t>dam_rock_trtm_m2</t>
  </si>
  <si>
    <t>dam_rock_tran_m3</t>
  </si>
  <si>
    <t>dam_eart_filt_m3</t>
  </si>
  <si>
    <t>hsy_inch_slex_m3</t>
  </si>
  <si>
    <t>hsy_inch_rkex_m3</t>
  </si>
  <si>
    <t>hsy_inch_regc_m3</t>
  </si>
  <si>
    <t>spw_appr_slex_m3</t>
  </si>
  <si>
    <t>spw_appr_rkex_m3</t>
  </si>
  <si>
    <t>spw_appr_regc_m3</t>
  </si>
  <si>
    <t>spw_rest_slex_m3</t>
  </si>
  <si>
    <t>spw_rest_rkex_m3</t>
  </si>
  <si>
    <t>spw_rest_regc_m3</t>
  </si>
  <si>
    <t>hsy_trce_regc_m3</t>
  </si>
  <si>
    <t>$</t>
  </si>
  <si>
    <t>$ 10³</t>
  </si>
  <si>
    <t>UNIT PRICES SUMMARY</t>
  </si>
  <si>
    <t>UNIT PRICE</t>
  </si>
  <si>
    <t>UNIT</t>
  </si>
  <si>
    <t>ITEMS</t>
  </si>
  <si>
    <t>COSTS SUMMARY</t>
  </si>
  <si>
    <t>COSTS ($ x10³)</t>
  </si>
  <si>
    <t>ACCOUNT</t>
  </si>
  <si>
    <t>QUANTITIES SUMMARY</t>
  </si>
  <si>
    <t>INVENTORY STUDIES</t>
  </si>
  <si>
    <t>COSTS</t>
  </si>
  <si>
    <t>COST ESTIMATE SPREADSHEET</t>
  </si>
  <si>
    <t>QUANTITY</t>
  </si>
  <si>
    <t>lands, resettlements, relocations and other socialenvironmental cost</t>
  </si>
  <si>
    <t>powerhouse civil and related land development cost</t>
  </si>
  <si>
    <t>dams and hydraulic system cost</t>
  </si>
  <si>
    <t>diversion cost</t>
  </si>
  <si>
    <t>dams and dikes cost</t>
  </si>
  <si>
    <t>spillway cost</t>
  </si>
  <si>
    <t>intakes and adduction cost</t>
  </si>
  <si>
    <t>special constructions cost</t>
  </si>
  <si>
    <t>turbines and generators cost</t>
  </si>
  <si>
    <t>auxiliary electrical equipment cost</t>
  </si>
  <si>
    <t>miscellaneous mechanical equipment cost</t>
  </si>
  <si>
    <t>roads, railroads and bridges cost</t>
  </si>
  <si>
    <t>indirect cost</t>
  </si>
  <si>
    <t>interest during construccion</t>
  </si>
  <si>
    <t>total cost without interest during construccion</t>
  </si>
  <si>
    <t>total civil cost</t>
  </si>
  <si>
    <t>direct cost</t>
  </si>
  <si>
    <t>equipment cost</t>
  </si>
  <si>
    <t>index cost</t>
  </si>
  <si>
    <t>total cost with interest during construccion</t>
  </si>
  <si>
    <t>Lands, resettlements, relocations and other socialenvironmental costs</t>
  </si>
  <si>
    <t>Powerhouse civil and related land development</t>
  </si>
  <si>
    <t>Dams and hydraulic system</t>
  </si>
  <si>
    <t>Diversion</t>
  </si>
  <si>
    <t>Dams and dikes</t>
  </si>
  <si>
    <t>Intakes and adduction</t>
  </si>
  <si>
    <t>Special constructions</t>
  </si>
  <si>
    <t>Spillway</t>
  </si>
  <si>
    <t>Turbines and generators</t>
  </si>
  <si>
    <t>Auxiliary electrical equipment</t>
  </si>
  <si>
    <t>Miscellaneous mechanical equipment</t>
  </si>
  <si>
    <t>Roads, railroads and bridges</t>
  </si>
  <si>
    <t>Direct cost</t>
  </si>
  <si>
    <t>Indirect cost</t>
  </si>
  <si>
    <t>Total civil cost</t>
  </si>
  <si>
    <t>Equipment cost</t>
  </si>
  <si>
    <t>Index cost</t>
  </si>
  <si>
    <t>Installed capacity</t>
  </si>
  <si>
    <t xml:space="preserve">roller-compacted concrete volume of the concrete dam </t>
  </si>
  <si>
    <t xml:space="preserve">surface rock excavation volume of the concrete dam </t>
  </si>
  <si>
    <t xml:space="preserve">common excavation volume of the concrete dam </t>
  </si>
  <si>
    <t xml:space="preserve">structural concrete volume of the concrete dam </t>
  </si>
  <si>
    <t xml:space="preserve">foundation cleaning and treatment area of the concrete dam </t>
  </si>
  <si>
    <t>hsy_stnk_stee_t</t>
  </si>
  <si>
    <t>installed capacity</t>
  </si>
  <si>
    <t xml:space="preserve">compacted earthfill volume of the earthfill dam </t>
  </si>
  <si>
    <t>filters and transitions volumes of an earthfill dam</t>
  </si>
  <si>
    <t xml:space="preserve">dam downstream face protection of the earthfill dam </t>
  </si>
  <si>
    <t xml:space="preserve">rip-rap volume of the earthfill dam </t>
  </si>
  <si>
    <t xml:space="preserve">common excavation volume of an earthfill dam </t>
  </si>
  <si>
    <t xml:space="preserve">foundation cleaning and treatment area of an earthfill dam </t>
  </si>
  <si>
    <t>clay core volume of the rockfill dam</t>
  </si>
  <si>
    <t>concrete face volume of the rockfill dam</t>
  </si>
  <si>
    <t>rockfill volume of the rockfill dam</t>
  </si>
  <si>
    <t xml:space="preserve">common excavation volume of a rockfill dam </t>
  </si>
  <si>
    <t xml:space="preserve">transitions volumes of a rockfill dam </t>
  </si>
  <si>
    <t xml:space="preserve">foundation cleaning and treatment area of a rockfill dam </t>
  </si>
  <si>
    <t>structural concrete volume of the transition walls</t>
  </si>
  <si>
    <t>surface rock excavation volume of the transition walls</t>
  </si>
  <si>
    <t>common excavation volume of the transition walls</t>
  </si>
  <si>
    <t>foundation cleaning and treatment area of the transition walls</t>
  </si>
  <si>
    <t>total volume of the first phase cofferdam</t>
  </si>
  <si>
    <t>total volume of the second phase cofferdam</t>
  </si>
  <si>
    <t>dental concrete volume for the regularization of the diversion channels</t>
  </si>
  <si>
    <t>surface rock excavation volume of the diversion channels</t>
  </si>
  <si>
    <t>common excavation volume of the diversion channels</t>
  </si>
  <si>
    <t>structural concrete volume of the diversion gallery (including intake)</t>
  </si>
  <si>
    <t xml:space="preserve">surface rock excavation volume of the diversion gallery </t>
  </si>
  <si>
    <t>foundation cleaning and treatment area of the diversion gallery</t>
  </si>
  <si>
    <t>structural concrete volume of the sluiceway</t>
  </si>
  <si>
    <t>surface rock excavation volume of the sluiceway</t>
  </si>
  <si>
    <t>foundation cleaning and treatment area of the sluiceway</t>
  </si>
  <si>
    <t>structural concrete volume of the diversion tunnels (including intake)</t>
  </si>
  <si>
    <t>foundation cleaning and treatment area of the diversion tunnel</t>
  </si>
  <si>
    <t>underground rock excavation volume of the channels of the diversion tunnel</t>
  </si>
  <si>
    <t>shotcrete volume of the diversion tunnels</t>
  </si>
  <si>
    <t>embedded parts cost of the diversion tunnel equipment</t>
  </si>
  <si>
    <t>fixed wheel gates cost of the diversion tunnel</t>
  </si>
  <si>
    <t>number of fixed wheel gates of the diversion tunnel</t>
  </si>
  <si>
    <t>stoplogs cost of the diversion tunnel</t>
  </si>
  <si>
    <t>number of stoplogs of the diversion tunnel</t>
  </si>
  <si>
    <t>embedded parts cost of the diversion gallery or sluiceway equipment</t>
  </si>
  <si>
    <t>fixed wheel gates cost of the diversion gallery or sluiceway</t>
  </si>
  <si>
    <t>number of fixed wheel gates of the diversion gallery or sluiceway</t>
  </si>
  <si>
    <t>stoplogs cost of the diversion gallery or sluiceway</t>
  </si>
  <si>
    <t>downstream stoplogs cost of the sluiceway</t>
  </si>
  <si>
    <t>number of downstream stoplogs of the sluiceway</t>
  </si>
  <si>
    <t>structural concrete volume of the powerhouse</t>
  </si>
  <si>
    <t>surface rock excavation volume of the powerhouse</t>
  </si>
  <si>
    <t>common excavation volume of the powerhouse</t>
  </si>
  <si>
    <t>foundation cleaning and treatment area of the powerhouse</t>
  </si>
  <si>
    <t>underground rock excavation volume of the powerhouse</t>
  </si>
  <si>
    <t xml:space="preserve">embedded parts cost of the draft tube equipment </t>
  </si>
  <si>
    <t xml:space="preserve">fixed wheel gates cost of the draft tube </t>
  </si>
  <si>
    <t xml:space="preserve">number of fixed wheel gates of the draft tube </t>
  </si>
  <si>
    <t>gantry crane cost</t>
  </si>
  <si>
    <t xml:space="preserve">stoplogs cost of the draft tube </t>
  </si>
  <si>
    <t xml:space="preserve">number of stoplogs of the draft tube </t>
  </si>
  <si>
    <t>bridge crane cost</t>
  </si>
  <si>
    <t>installations and final works cost</t>
  </si>
  <si>
    <t>land developments cost</t>
  </si>
  <si>
    <t>generator cost</t>
  </si>
  <si>
    <t>number of generators</t>
  </si>
  <si>
    <t>turbine cost</t>
  </si>
  <si>
    <t>number of turbines</t>
  </si>
  <si>
    <t>dental concrete volume for the regularization of the spillway approach channel</t>
  </si>
  <si>
    <t>surface rock excavation volume of the spillway approach channel</t>
  </si>
  <si>
    <t>common excavation volume of the spillway approach channel</t>
  </si>
  <si>
    <t>crane cost of the spillway</t>
  </si>
  <si>
    <t xml:space="preserve">embedded parts cost of the spillway equipment </t>
  </si>
  <si>
    <t>segment gates cost of the spillway</t>
  </si>
  <si>
    <t>number of segment gates of the spillway</t>
  </si>
  <si>
    <t>stoplogs cost of the spillway</t>
  </si>
  <si>
    <t>number of stoplogs of the spillway</t>
  </si>
  <si>
    <t>dental concrete volume for the regularization of the spillway restitution channel</t>
  </si>
  <si>
    <t>surface rock excavation volume of the spillway restitution channel</t>
  </si>
  <si>
    <t>common excavation volume of the spillway restitution channel</t>
  </si>
  <si>
    <t>structural concrete volume of the spillway</t>
  </si>
  <si>
    <t>surface rock excavation volume of the spillway</t>
  </si>
  <si>
    <t>common excavation volume of the spillway</t>
  </si>
  <si>
    <t>foundation cleaning and treatment area of the spillway</t>
  </si>
  <si>
    <t>structural concrete volume of the intake</t>
  </si>
  <si>
    <t>crane cost of the intake</t>
  </si>
  <si>
    <t>embedded parts cost of the intake equipment</t>
  </si>
  <si>
    <t>fixed wheel gates cost of the intake</t>
  </si>
  <si>
    <t>number of fixed wheel gates of the intake</t>
  </si>
  <si>
    <t>trash racks cost of the intake</t>
  </si>
  <si>
    <t>surface rock excavation volume of the intake</t>
  </si>
  <si>
    <t>common excavation volume of the intake</t>
  </si>
  <si>
    <t>stoplogs cost of the intake</t>
  </si>
  <si>
    <t>number of stoplogs of the intake</t>
  </si>
  <si>
    <t>foundation cleaning and treatment area of the intake</t>
  </si>
  <si>
    <t>dental concrete volume for the regularization of the intake channel</t>
  </si>
  <si>
    <t>surface rock excavation volume of the intake channel</t>
  </si>
  <si>
    <t>common excavation volume of the intake channel</t>
  </si>
  <si>
    <t>structural concrete volume of the headrace channel</t>
  </si>
  <si>
    <t>surface rock excavation volume of the headrace channel</t>
  </si>
  <si>
    <t>shotcrete volume of the headrace channel</t>
  </si>
  <si>
    <t>common excavation volume of the headrace channel</t>
  </si>
  <si>
    <t>foundation cleaning and treatment area of the headrace channel</t>
  </si>
  <si>
    <t>structural concrete volume of the forebay</t>
  </si>
  <si>
    <t>surface rock excavation volume of the forebay</t>
  </si>
  <si>
    <t>common excavation volume of the forebay</t>
  </si>
  <si>
    <t>foundation cleaning and treatment area of the forebay</t>
  </si>
  <si>
    <t>structural concrete volume of the low pressure penstock</t>
  </si>
  <si>
    <t>surface rock excavation volume of the low pressure penstock</t>
  </si>
  <si>
    <t>common excavation volume of the low pressure penstock</t>
  </si>
  <si>
    <t>foundation cleaning and treatment area of the low pressure penstock</t>
  </si>
  <si>
    <t>concrete volume of the low pressure tunnel</t>
  </si>
  <si>
    <t>shotcrete volume of the low pressure tunnel</t>
  </si>
  <si>
    <t>foundation cleaning and treatment area of the low pressure tunnel</t>
  </si>
  <si>
    <t>underground rock excavation volume of the low pressure tunnel</t>
  </si>
  <si>
    <t>structural concrete volume of the surge tank</t>
  </si>
  <si>
    <t>surface rock excavation volume of the surge tank</t>
  </si>
  <si>
    <t>common excavation volume of the surge tank</t>
  </si>
  <si>
    <t>steel lining of the surge tank</t>
  </si>
  <si>
    <t>foundation cleaning and treatment area of the surge tank</t>
  </si>
  <si>
    <t>underground rock excavation volume of the surge tank</t>
  </si>
  <si>
    <t>structural concrete volume of the penstock blocks</t>
  </si>
  <si>
    <t>surface rock excavation volume of the penstock</t>
  </si>
  <si>
    <t>common excavation volume of the penstock</t>
  </si>
  <si>
    <t>weight of the steel lined penstock</t>
  </si>
  <si>
    <t>foundation cleaning and treatment area of the penstock blocks</t>
  </si>
  <si>
    <t>concrete volume of the high pressure tunnel</t>
  </si>
  <si>
    <t>foundation cleaning and treatment area of the high pressure tunnel</t>
  </si>
  <si>
    <t>underground rock excavation volume of the high pressure tunnel</t>
  </si>
  <si>
    <t>butterfly valve cost</t>
  </si>
  <si>
    <t>number of butterfly valves</t>
  </si>
  <si>
    <t>spherical valve cost</t>
  </si>
  <si>
    <t>number of spherical valves</t>
  </si>
  <si>
    <t>dental concrete volume for the regularization of the tailrace</t>
  </si>
  <si>
    <t>surface rock excavation volume of the tailrace</t>
  </si>
  <si>
    <t>common excavation volume of the tailrace</t>
  </si>
  <si>
    <t>foundation cleaning and treatment area of the tailrace</t>
  </si>
  <si>
    <t>underground rock excavation volume of the tailrace</t>
  </si>
  <si>
    <t xml:space="preserve">structural concrete volume of the tailrace </t>
  </si>
  <si>
    <t>fish transfer system cost</t>
  </si>
  <si>
    <t>port or lock system cost</t>
  </si>
  <si>
    <t>Concrete</t>
  </si>
  <si>
    <t>Rock</t>
  </si>
  <si>
    <t>Soil</t>
  </si>
  <si>
    <t>(considering 2/3 of the its volume)</t>
  </si>
  <si>
    <t>(considering 1/3 of the its volume)</t>
  </si>
  <si>
    <t>Unit</t>
  </si>
  <si>
    <t>Volume</t>
  </si>
  <si>
    <t>L</t>
  </si>
  <si>
    <t>(presumed zero)</t>
  </si>
  <si>
    <t>LANDS, RESETTLEMENTS, RELOCATIONS AND OTHER SOCIOENVIRONMENTAL ACTIONS</t>
  </si>
  <si>
    <t xml:space="preserve">     LAND ACQUISITIONS AND LAND DEVELOPMENTS</t>
  </si>
  <si>
    <t xml:space="preserve">       URBAN REAL ESTATE</t>
  </si>
  <si>
    <t xml:space="preserve">          Reservoir</t>
  </si>
  <si>
    <t xml:space="preserve">          Construction site, workers' camp, borrow areas, etc. </t>
  </si>
  <si>
    <t xml:space="preserve">          Conservation Areas and Permanent Preservation Areas</t>
  </si>
  <si>
    <t xml:space="preserve">          Towns and villages</t>
  </si>
  <si>
    <t xml:space="preserve">          Isolated social and economic infrastructure</t>
  </si>
  <si>
    <t xml:space="preserve">          Other costs</t>
  </si>
  <si>
    <t xml:space="preserve">       RURAL REAL ESTATE</t>
  </si>
  <si>
    <t xml:space="preserve">          Indigenous peoples and other ethnic groups</t>
  </si>
  <si>
    <t xml:space="preserve">          Rural resettlement </t>
  </si>
  <si>
    <t xml:space="preserve">     RESETTLEMENTS AND RELOCATIONS</t>
  </si>
  <si>
    <t xml:space="preserve">       ACQUISITION AND LEGAL EXPENSES</t>
  </si>
  <si>
    <t xml:space="preserve">       OTHER COSTS</t>
  </si>
  <si>
    <t xml:space="preserve">       ROADS </t>
  </si>
  <si>
    <t xml:space="preserve">       RAILROADS</t>
  </si>
  <si>
    <t xml:space="preserve">       BRIDGES</t>
  </si>
  <si>
    <t xml:space="preserve">       TRANSMISSION AND DISTRIBUTION SYSTEM</t>
  </si>
  <si>
    <t xml:space="preserve">       COMMUNICATIONS SYSTEM</t>
  </si>
  <si>
    <t xml:space="preserve">       POPULATION RESETTLEMENT</t>
  </si>
  <si>
    <t xml:space="preserve">       OTHER RESETTLEMENTS / RELOCATIONS</t>
  </si>
  <si>
    <t xml:space="preserve">     OTHER SOCIOENVIRONMENTAL ACTIONS</t>
  </si>
  <si>
    <t xml:space="preserve">       SOCIOENVIRONMENTAL COMMUNICATION</t>
  </si>
  <si>
    <t xml:space="preserve">       PHYSICAL AND BIOTIC ENVIRONMENT</t>
  </si>
  <si>
    <t xml:space="preserve">          Reservoir Cleaning</t>
  </si>
  <si>
    <t xml:space="preserve">          Conservation of flora</t>
  </si>
  <si>
    <t xml:space="preserve">          Conservation of fauna</t>
  </si>
  <si>
    <t xml:space="preserve">          Water quality </t>
  </si>
  <si>
    <t xml:space="preserve">          Recuperation of degraded areas</t>
  </si>
  <si>
    <t xml:space="preserve">       SOCIOECONOMIC AND CULTURAL ENVIRONMENT</t>
  </si>
  <si>
    <t xml:space="preserve">          Basic sanitation and healthcare</t>
  </si>
  <si>
    <t xml:space="preserve">          Housing and education infrastructure</t>
  </si>
  <si>
    <t xml:space="preserve">          Salvaging of cultural heritage</t>
  </si>
  <si>
    <t xml:space="preserve">          Support for municipalities </t>
  </si>
  <si>
    <t xml:space="preserve">       LICENSING AND INSTITUTIONAL MANAGEMENT</t>
  </si>
  <si>
    <t xml:space="preserve">          Institutional Management</t>
  </si>
  <si>
    <t xml:space="preserve">          Licensing</t>
  </si>
  <si>
    <t xml:space="preserve">       MULTIPLE USES</t>
  </si>
  <si>
    <t xml:space="preserve">     Subtotal of account .10</t>
  </si>
  <si>
    <t xml:space="preserve">      MISCELLANEOUS ITEMS FROM ACCOUNT .10</t>
  </si>
  <si>
    <t>POWERHOUSE (CIVIL CONSTRUCTION) AND RELATED LAND DEVELOPMENTS</t>
  </si>
  <si>
    <t xml:space="preserve">     LAND DEVELOPMENTS IN THE PLANT AREA</t>
  </si>
  <si>
    <t xml:space="preserve">     POWERHOUSE</t>
  </si>
  <si>
    <t xml:space="preserve">          Excavation</t>
  </si>
  <si>
    <t xml:space="preserve">               Underground rock </t>
  </si>
  <si>
    <t xml:space="preserve">               Surface rock</t>
  </si>
  <si>
    <t xml:space="preserve">          Foundation cleaning and treatment    </t>
  </si>
  <si>
    <t xml:space="preserve">          Concrete</t>
  </si>
  <si>
    <t xml:space="preserve">               Cement</t>
  </si>
  <si>
    <t xml:space="preserve">               Concrete without cement </t>
  </si>
  <si>
    <t xml:space="preserve">               Reinforcement steel  </t>
  </si>
  <si>
    <t xml:space="preserve">          Installations and final works</t>
  </si>
  <si>
    <t xml:space="preserve">     Subtotal of Account .11</t>
  </si>
  <si>
    <t xml:space="preserve">     MISCELLANEOUS ITEMS FROM ACCOUNT .11 </t>
  </si>
  <si>
    <r>
      <t>Weight in t/m</t>
    </r>
    <r>
      <rPr>
        <b/>
        <vertAlign val="superscript"/>
        <sz val="9"/>
        <color rgb="FF303030"/>
        <rFont val="Verdana"/>
        <family val="2"/>
      </rPr>
      <t>3</t>
    </r>
  </si>
  <si>
    <t>DAMS AND INTAKES</t>
  </si>
  <si>
    <t xml:space="preserve">     RIVER DIVERSION</t>
  </si>
  <si>
    <t xml:space="preserve">          COFFERDAMS</t>
  </si>
  <si>
    <t xml:space="preserve">               Concrete for deflector baffle</t>
  </si>
  <si>
    <t xml:space="preserve">               Earth-rock cofferdam 1st Phase</t>
  </si>
  <si>
    <t xml:space="preserve">               Earth-rock cofferdam 2nd Phase</t>
  </si>
  <si>
    <t xml:space="preserve">               Special cofferdams</t>
  </si>
  <si>
    <t xml:space="preserve">               Removal of cofferdams</t>
  </si>
  <si>
    <t xml:space="preserve">               Dewatering and other costs</t>
  </si>
  <si>
    <t xml:space="preserve">               Service bridge</t>
  </si>
  <si>
    <t xml:space="preserve">          DIVERSION TUNNEL</t>
  </si>
  <si>
    <t xml:space="preserve">               Excavation</t>
  </si>
  <si>
    <t xml:space="preserve">                    Surface rock</t>
  </si>
  <si>
    <t xml:space="preserve">                    Underground rock </t>
  </si>
  <si>
    <t xml:space="preserve">               Foundation cleaning and treatment    </t>
  </si>
  <si>
    <t xml:space="preserve">               Concrete</t>
  </si>
  <si>
    <t xml:space="preserve">                    Cement</t>
  </si>
  <si>
    <t xml:space="preserve">                    Concrete without cement </t>
  </si>
  <si>
    <t xml:space="preserve">                    Reinforcement steel  </t>
  </si>
  <si>
    <t xml:space="preserve">               Shotcrete</t>
  </si>
  <si>
    <t xml:space="preserve">               Other costs</t>
  </si>
  <si>
    <t xml:space="preserve">               Gates and related closing equipment</t>
  </si>
  <si>
    <t xml:space="preserve">                    Stoplogs</t>
  </si>
  <si>
    <t xml:space="preserve">                    Other embedded parts</t>
  </si>
  <si>
    <t xml:space="preserve">                    Downstream stoplogs</t>
  </si>
  <si>
    <t xml:space="preserve">          DIVERSION CHANNEL OR GALLERY / SLUICEWAY</t>
  </si>
  <si>
    <t xml:space="preserve">    DAMS AND DIKES</t>
  </si>
  <si>
    <t xml:space="preserve">       EARTHFILL AND ROCKFILL DAMS AND DIKES</t>
  </si>
  <si>
    <t xml:space="preserve">               Common</t>
  </si>
  <si>
    <t xml:space="preserve">                    Common</t>
  </si>
  <si>
    <t xml:space="preserve">               Surface Rock</t>
  </si>
  <si>
    <t xml:space="preserve">                    Surface Rock</t>
  </si>
  <si>
    <t xml:space="preserve">          Foundation cleaning and treatment </t>
  </si>
  <si>
    <t xml:space="preserve">               Foundation cleaning and treatment </t>
  </si>
  <si>
    <t xml:space="preserve">                    Underground rock</t>
  </si>
  <si>
    <t xml:space="preserve">               Concrete without cement</t>
  </si>
  <si>
    <t xml:space="preserve">                    Concrete without cement</t>
  </si>
  <si>
    <t xml:space="preserve">               Reinforcement steel</t>
  </si>
  <si>
    <t xml:space="preserve">                    Reinforcement steel</t>
  </si>
  <si>
    <t xml:space="preserve">           Gates and related closing equipment</t>
  </si>
  <si>
    <t xml:space="preserve">          Rockfill</t>
  </si>
  <si>
    <t xml:space="preserve">          Compacted Earthfill</t>
  </si>
  <si>
    <t xml:space="preserve">          Clay Core</t>
  </si>
  <si>
    <t xml:space="preserve">               Borrow soil</t>
  </si>
  <si>
    <t xml:space="preserve">               Quarry Rock</t>
  </si>
  <si>
    <t xml:space="preserve">          Filters / Transitions</t>
  </si>
  <si>
    <t xml:space="preserve">          Concrete face</t>
  </si>
  <si>
    <t xml:space="preserve">          Proteccion of dam faces</t>
  </si>
  <si>
    <t xml:space="preserve">               Downstream Face</t>
  </si>
  <si>
    <t xml:space="preserve">               Upstream Face</t>
  </si>
  <si>
    <t xml:space="preserve">       CONCRETE DAMS</t>
  </si>
  <si>
    <t xml:space="preserve">          Roller Compacted Concrete</t>
  </si>
  <si>
    <t xml:space="preserve">       CONCRETE TRANSITIONS AND RETAINING WALLS</t>
  </si>
  <si>
    <t xml:space="preserve">     SPILLWAYS</t>
  </si>
  <si>
    <t xml:space="preserve">       SURFACE SPILLWAYS</t>
  </si>
  <si>
    <t xml:space="preserve">               Stoplog</t>
  </si>
  <si>
    <t xml:space="preserve">               Other embedded parts</t>
  </si>
  <si>
    <t xml:space="preserve">     Other embedded parts</t>
  </si>
  <si>
    <t xml:space="preserve">               Crane</t>
  </si>
  <si>
    <t xml:space="preserve">               Segment gate</t>
  </si>
  <si>
    <t xml:space="preserve">       OTHER SPILLWAYS</t>
  </si>
  <si>
    <t xml:space="preserve">     INTAKE AND HYDRAULIC SYSTEM</t>
  </si>
  <si>
    <t xml:space="preserve">          INTAKE</t>
  </si>
  <si>
    <t xml:space="preserve">                    Crane </t>
  </si>
  <si>
    <t xml:space="preserve">               Fixed wheel gates</t>
  </si>
  <si>
    <t xml:space="preserve">                    Fixed wheel gates</t>
  </si>
  <si>
    <t xml:space="preserve">          SURGE TANK</t>
  </si>
  <si>
    <t xml:space="preserve">          HEADRACE CHANNEL AND FOREBAY</t>
  </si>
  <si>
    <t xml:space="preserve">          LOW PRESSURE TUNNEL OR PENSTOCK</t>
  </si>
  <si>
    <t xml:space="preserve">                    Butterfly valve</t>
  </si>
  <si>
    <t xml:space="preserve">          HIGH PRESSURE TUNNEL AND PENSTOCK</t>
  </si>
  <si>
    <t xml:space="preserve">                    Steel Lining</t>
  </si>
  <si>
    <t xml:space="preserve">                    Spherical valve</t>
  </si>
  <si>
    <t>BF</t>
  </si>
  <si>
    <t>Bulking Factor (BF) and Losses (L)</t>
  </si>
  <si>
    <t>Required Earthfill</t>
  </si>
  <si>
    <t>Required Rockfill and Aggregates</t>
  </si>
  <si>
    <t>Rock Excavation</t>
  </si>
  <si>
    <t>Common Excavation</t>
  </si>
  <si>
    <t>CUT AND FILL VOLUMES</t>
  </si>
  <si>
    <t xml:space="preserve">          TAILRACE CHANNEL OR TUNNEL</t>
  </si>
  <si>
    <t xml:space="preserve">          LOCK AND / OR PORT</t>
  </si>
  <si>
    <t xml:space="preserve">     SPECIAL CONSTRUCTIONS</t>
  </si>
  <si>
    <t xml:space="preserve">     Subtotal for equipment</t>
  </si>
  <si>
    <t xml:space="preserve">     Subtotal for civil construction works</t>
  </si>
  <si>
    <t xml:space="preserve">     MISCELLANEOUS ITEMS FROM ACCOUNT .12 civil construction works</t>
  </si>
  <si>
    <t xml:space="preserve">     MISCELLANEOUS ITEMS FROM ACCOUNT .12 equipment</t>
  </si>
  <si>
    <t>TURBINES E GENERATORS</t>
  </si>
  <si>
    <t xml:space="preserve">     Turbines</t>
  </si>
  <si>
    <t xml:space="preserve">     Generators</t>
  </si>
  <si>
    <t xml:space="preserve">     Subtotal of Account .13</t>
  </si>
  <si>
    <t xml:space="preserve">     MISCELLANEOUS ITEMS FROM ACCOUNT .14</t>
  </si>
  <si>
    <t xml:space="preserve">     Subtotal of Account .14</t>
  </si>
  <si>
    <t xml:space="preserve">     Crane</t>
  </si>
  <si>
    <t xml:space="preserve">     Fixed wheel gates</t>
  </si>
  <si>
    <t xml:space="preserve">     Subtotal of Account .15</t>
  </si>
  <si>
    <t xml:space="preserve">     MISCELLANEOUS ITEMS FROM ACCOUNT .15</t>
  </si>
  <si>
    <t xml:space="preserve">     Bridge crane</t>
  </si>
  <si>
    <t xml:space="preserve">     Auxiliary eletric equipment</t>
  </si>
  <si>
    <t xml:space="preserve">     Gantry crane</t>
  </si>
  <si>
    <t xml:space="preserve">     Miscellaneous equipment</t>
  </si>
  <si>
    <t xml:space="preserve">ROADS, RAILROADS AND BRIDGES </t>
  </si>
  <si>
    <t xml:space="preserve">     ROADS</t>
  </si>
  <si>
    <t xml:space="preserve">     RAILROADS</t>
  </si>
  <si>
    <t xml:space="preserve">     BRIDGES</t>
  </si>
  <si>
    <t xml:space="preserve">     Subtotal of Account .16</t>
  </si>
  <si>
    <t xml:space="preserve">     MISCELLANEOUS ITEMS FROM ACCOUNT .16</t>
  </si>
  <si>
    <t>TOTAL DIRECT COSTS</t>
  </si>
  <si>
    <t>INDIRECT COSTS</t>
  </si>
  <si>
    <t xml:space="preserve">     CONSTRUCTION SITE AND WORKERS' CAMP</t>
  </si>
  <si>
    <t xml:space="preserve">       MAINTENANCE AND OPERATION</t>
  </si>
  <si>
    <t xml:space="preserve">       CONSTRUCTION</t>
  </si>
  <si>
    <t xml:space="preserve">       ENGINEERING</t>
  </si>
  <si>
    <t xml:space="preserve">          Basic engineering project</t>
  </si>
  <si>
    <t xml:space="preserve">          Special engineering services</t>
  </si>
  <si>
    <t xml:space="preserve">          Environmental studies and projects</t>
  </si>
  <si>
    <t xml:space="preserve">       OWNER'S ADMINISTRATON</t>
  </si>
  <si>
    <t xml:space="preserve">     Subtotal of Account .17</t>
  </si>
  <si>
    <t xml:space="preserve">     MISCELLANEOUS ITEMS FROM ACCOUNT .17</t>
  </si>
  <si>
    <t>DIRECT AND INDIRECT COSTS</t>
  </si>
  <si>
    <t>INTEREST DURING CONSTRUCTION</t>
  </si>
  <si>
    <t xml:space="preserve">TOTAL COST INCLUDING INTEREST           </t>
  </si>
  <si>
    <t>Installed Capacity</t>
  </si>
  <si>
    <t xml:space="preserve">ha </t>
  </si>
  <si>
    <t>rural properties affected by the reservoir</t>
  </si>
  <si>
    <t>permanent preservation areas</t>
  </si>
  <si>
    <t>length of roads to be relocated</t>
  </si>
  <si>
    <t>length of railways to be relocated</t>
  </si>
  <si>
    <t>length of bridges to be relocated</t>
  </si>
  <si>
    <t>length of transmission lines to be relocated</t>
  </si>
  <si>
    <t>urban properties affected by the reservoir</t>
  </si>
  <si>
    <t>hera_env_res0_rurl_a</t>
  </si>
  <si>
    <t>hera_env_res0_urbn_a</t>
  </si>
  <si>
    <t>hera_env_res0_ppa0_a</t>
  </si>
  <si>
    <t>hera_env_relc_road_l</t>
  </si>
  <si>
    <t>hera_env_relc_rail_l</t>
  </si>
  <si>
    <t>hera_env_relc_brdg_l</t>
  </si>
  <si>
    <t>hera_env_relc_tlin_l</t>
  </si>
  <si>
    <t>$/kW</t>
  </si>
  <si>
    <t>number of fixed wheel gates of the forebay intake</t>
  </si>
  <si>
    <t>fixed wheel gates cost of the forebay intake</t>
  </si>
  <si>
    <t>number of stoplogs of the forebay intake</t>
  </si>
  <si>
    <t>stoplogs cost of the forebay intake</t>
  </si>
  <si>
    <t>crane cost of the forebay intake</t>
  </si>
  <si>
    <t>trash racks cost of the forebay intake</t>
  </si>
  <si>
    <t>embedded parts cost of the forebay intake equipment</t>
  </si>
  <si>
    <t>hsy_infb_fwgt_n</t>
  </si>
  <si>
    <t>hsy_infb_fwgt_ct</t>
  </si>
  <si>
    <t>hsy_infb_slog_n</t>
  </si>
  <si>
    <t>hsy_infb_slog_ct</t>
  </si>
  <si>
    <t>hsy_infb_cran_ct</t>
  </si>
  <si>
    <t>hsy_infb_rack_ct</t>
  </si>
  <si>
    <t>hsy_infb_embp_ct</t>
  </si>
  <si>
    <t>.12.19.31.23</t>
  </si>
  <si>
    <t>.12.19.31.23.16</t>
  </si>
  <si>
    <t>.12.19.31.23.17</t>
  </si>
  <si>
    <t>.12.19.31.23.56</t>
  </si>
  <si>
    <t>.12.19.31.23.20</t>
  </si>
  <si>
    <t>.12.19.31.23.21</t>
  </si>
  <si>
    <t xml:space="preserve">               Dental Concrete</t>
  </si>
  <si>
    <t>.12.16.28.14</t>
  </si>
  <si>
    <t>.12.16.28.14.13</t>
  </si>
  <si>
    <t>.12.16.28.14.14</t>
  </si>
  <si>
    <t xml:space="preserve">          Dental Concrete</t>
  </si>
  <si>
    <t>.12.16.30.14</t>
  </si>
  <si>
    <t>.12.16.30.14.13</t>
  </si>
  <si>
    <t>.12.16.30.14.14</t>
  </si>
  <si>
    <t>.12.16.35.14</t>
  </si>
  <si>
    <t>.12.16.35.14.13</t>
  </si>
  <si>
    <t>.12.16.35.14.14</t>
  </si>
  <si>
    <t>hsy_chan_regc_m3</t>
  </si>
  <si>
    <t>dental concrete volume for the regularization of headrace channel</t>
  </si>
  <si>
    <t>hera_env_res0_clea_a</t>
  </si>
  <si>
    <t>number of inhabitants affected by the reservoir in rural areas</t>
  </si>
  <si>
    <t>number of inhabitants affected by the reservoir in urban areas</t>
  </si>
  <si>
    <t>reservoir cleaning area</t>
  </si>
  <si>
    <t>Total cost without interest during construction</t>
  </si>
  <si>
    <t>Total cost with interest during construction</t>
  </si>
  <si>
    <t>Interest during construction</t>
  </si>
  <si>
    <t>Socioenvironmental cost</t>
  </si>
  <si>
    <t>number of stoplogs of the diversion gallery or sluiceway</t>
  </si>
  <si>
    <t xml:space="preserve">length of the access bridges  </t>
  </si>
  <si>
    <t>length of the access roads</t>
  </si>
  <si>
    <t xml:space="preserve">     AIRPORT</t>
  </si>
  <si>
    <t xml:space="preserve">     OWNER'S ENGINEERING AND ADMINISTRATION</t>
  </si>
  <si>
    <t>Index cost ($/kW)</t>
  </si>
  <si>
    <t xml:space="preserve">                    Trash racks and trash racks cleaner</t>
  </si>
  <si>
    <t xml:space="preserve">          OTHER SPECIAL CONSTRUCTIONS</t>
  </si>
  <si>
    <t>(always considering 3/5 of the 1st phase cofferdam volume)</t>
  </si>
  <si>
    <t>(presumed zero, already considered in its unit price)</t>
  </si>
  <si>
    <t>(considering 70% of its volume)</t>
  </si>
  <si>
    <t>(always considering 2/5 of the 1st phase cofferdam volume and 30% of the compacted earthfill volume)</t>
  </si>
  <si>
    <t xml:space="preserve">Other socioenvironmental actions - Reservoir cleaning = 30% Environmental total costs </t>
  </si>
  <si>
    <t>AUXILIARY ELETRICAL EQUIPMENT</t>
  </si>
  <si>
    <t xml:space="preserve">     MISCELLANEOUS ITEMS FROM ACCOUNT .13</t>
  </si>
  <si>
    <t>MISCELLANEOUS MECHANICAL EQUIPMENT</t>
  </si>
  <si>
    <t>hera_env_popl_rurl_n</t>
  </si>
  <si>
    <t>hera_env_popl_urbn_n</t>
  </si>
  <si>
    <t xml:space="preserve">          Rural Resettlement (families or inhabitants affected)</t>
  </si>
  <si>
    <t xml:space="preserve">          Indigenous peoples and other ethnic groups (families or inhabitants affected)</t>
  </si>
  <si>
    <t xml:space="preserve">          Towns and villages (families or inhabitants affected)</t>
  </si>
  <si>
    <t xml:space="preserve">to access the definition of the variables in other languages, refer to Engineering dictionary.xls at HERA documentation </t>
  </si>
  <si>
    <t>km2</t>
  </si>
  <si>
    <t>person</t>
  </si>
  <si>
    <t>people</t>
  </si>
  <si>
    <t>Excavación común</t>
  </si>
  <si>
    <t>Excavación de roca superficial</t>
  </si>
  <si>
    <t>Excavación de roca subterránea</t>
  </si>
  <si>
    <t>Préstamo (extracción) de suelo</t>
  </si>
  <si>
    <t>Roca de cantera</t>
  </si>
  <si>
    <t>Zona de limpieza y tratamiento de fundación - presas de tierra o enrocado</t>
  </si>
  <si>
    <t>Zona de limpieza y tratamiento de fundación - estructuras de hormigón</t>
  </si>
  <si>
    <t>Remoción de ataguía</t>
  </si>
  <si>
    <t>Ataguía - primer etapa</t>
  </si>
  <si>
    <t>Ataguía - segunda etapa</t>
  </si>
  <si>
    <t>Volumen de terraplén compactado en presas de tierra</t>
  </si>
  <si>
    <t>Volumen del núcleo de arcilla en presas de escollera (enrocado)</t>
  </si>
  <si>
    <t>Volumen de roca en presas de escollera (presa de enrocado)</t>
  </si>
  <si>
    <t>Filtros y transiciones</t>
  </si>
  <si>
    <t>Volumen de rip-rap de la presa de tierra (protección del talud aguas arriba)</t>
  </si>
  <si>
    <t>Talud aguas abajo de la presa de enrocado (protección en gramínea)</t>
  </si>
  <si>
    <t>Cemento</t>
  </si>
  <si>
    <t>Hormigón (concreto) estructural</t>
  </si>
  <si>
    <t>Hormigón (concreto) compactado con rodillo o hormigón en masa</t>
  </si>
  <si>
    <t>Hormigón (concreto) proyectado (shotcrete)</t>
  </si>
  <si>
    <t>Acero de refuerzo en estructuras de hormigón</t>
  </si>
  <si>
    <t>Blindaje de la tubería forzada</t>
  </si>
  <si>
    <t>Longitud de carreteras para acceso a la central</t>
  </si>
  <si>
    <t>Longitud de puentes para acceso a la central</t>
  </si>
  <si>
    <t>Adquisición de tierra en zonas rurales</t>
  </si>
  <si>
    <t>Adquisición de tierra en zonas urbanas</t>
  </si>
  <si>
    <t>Reconstrucción de carreteras afectadas por embalses</t>
  </si>
  <si>
    <t>Reconstrucción de ferrocarriles afectadas por embalses</t>
  </si>
  <si>
    <t>Reconstrucción de puentes afectadas por embalses</t>
  </si>
  <si>
    <t>Reconstrucción de líneas de transmisión afectadas por embalses</t>
  </si>
  <si>
    <t>Número de familias reasentadas en zonas rurales</t>
  </si>
  <si>
    <t>Número de familias reasentadas en zonas urbanas</t>
  </si>
  <si>
    <t>Remoción de vegetación antes de llenar el embalse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</si>
</sst>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-;\-* #,##0.00_-;_-* &quot;-&quot;??_-;_-@_-"/>
    <numFmt numFmtId="165" formatCode="#,##0.0"/>
    <numFmt numFmtId="166" formatCode="0.000"/>
    <numFmt numFmtId="167" formatCode="#,##0.000"/>
    <numFmt numFmtId="168" formatCode="0.0%"/>
    <numFmt numFmtId="169" formatCode="_-* #,##0_-;\-* #,##0_-;_-* &quot;-&quot;??_-;_-@_-"/>
  </numFmts>
  <fonts count="4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9"/>
      <name val="Comic Sans MS"/>
      <family val="4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10"/>
      <name val="MS Sans Serif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sz val="10"/>
      <name val="MS Sans Serif"/>
    </font>
    <font>
      <sz val="11"/>
      <name val="Calibri"/>
      <family val="2"/>
      <scheme val="minor"/>
    </font>
    <font>
      <sz val="11"/>
      <name val="Courier New"/>
      <family val="3"/>
    </font>
    <font>
      <sz val="1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color theme="1"/>
      <name val="Courier New"/>
      <family val="3"/>
    </font>
    <font>
      <sz val="11"/>
      <color theme="1"/>
      <name val="Calibri"/>
      <family val="2"/>
      <scheme val="minor"/>
    </font>
    <font>
      <sz val="11"/>
      <color rgb="FFFF0000"/>
      <name val="Courier New"/>
      <family val="3"/>
    </font>
    <font>
      <b/>
      <vertAlign val="superscript"/>
      <sz val="9"/>
      <color rgb="FF303030"/>
      <name val="Verdana"/>
      <family val="2"/>
    </font>
    <font>
      <b/>
      <sz val="9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2">
    <xf numFmtId="0" fontId="0" fillId="0" borderId="0"/>
    <xf numFmtId="0" fontId="14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4" borderId="0" applyNumberFormat="0" applyBorder="0" applyAlignment="0" applyProtection="0"/>
    <xf numFmtId="0" fontId="7" fillId="6" borderId="0" applyNumberFormat="0" applyBorder="0" applyAlignment="0" applyProtection="0"/>
    <xf numFmtId="0" fontId="7" fillId="3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6" borderId="0" applyNumberFormat="0" applyBorder="0" applyAlignment="0" applyProtection="0"/>
    <xf numFmtId="0" fontId="7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9" fillId="6" borderId="0" applyNumberFormat="0" applyBorder="0" applyAlignment="0" applyProtection="0"/>
    <xf numFmtId="0" fontId="10" fillId="11" borderId="1" applyNumberFormat="0" applyAlignment="0" applyProtection="0"/>
    <xf numFmtId="0" fontId="11" fillId="12" borderId="2" applyNumberFormat="0" applyAlignment="0" applyProtection="0"/>
    <xf numFmtId="0" fontId="12" fillId="0" borderId="3" applyNumberFormat="0" applyFill="0" applyAlignment="0" applyProtection="0"/>
    <xf numFmtId="0" fontId="8" fillId="13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13" fillId="7" borderId="1" applyNumberFormat="0" applyAlignment="0" applyProtection="0"/>
    <xf numFmtId="0" fontId="15" fillId="17" borderId="0" applyNumberFormat="0" applyBorder="0" applyAlignment="0" applyProtection="0"/>
    <xf numFmtId="0" fontId="16" fillId="7" borderId="0" applyNumberFormat="0" applyBorder="0" applyAlignment="0" applyProtection="0"/>
    <xf numFmtId="0" fontId="17" fillId="0" borderId="0"/>
    <xf numFmtId="0" fontId="6" fillId="4" borderId="4" applyNumberFormat="0" applyFont="0" applyAlignment="0" applyProtection="0"/>
    <xf numFmtId="0" fontId="18" fillId="11" borderId="5" applyNumberFormat="0" applyAlignment="0" applyProtection="0"/>
    <xf numFmtId="0" fontId="1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3" fillId="0" borderId="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9" fontId="6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164" fontId="35" fillId="0" borderId="0" applyFont="0" applyFill="0" applyBorder="0" applyAlignment="0" applyProtection="0"/>
    <xf numFmtId="0" fontId="36" fillId="0" borderId="0"/>
    <xf numFmtId="0" fontId="6" fillId="0" borderId="0"/>
    <xf numFmtId="0" fontId="3" fillId="0" borderId="0"/>
    <xf numFmtId="0" fontId="3" fillId="0" borderId="0"/>
    <xf numFmtId="0" fontId="3" fillId="0" borderId="0"/>
    <xf numFmtId="164" fontId="6" fillId="0" borderId="0" applyFont="0" applyFill="0" applyBorder="0" applyAlignment="0" applyProtection="0"/>
    <xf numFmtId="0" fontId="2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4" borderId="0" applyNumberFormat="0" applyBorder="0" applyAlignment="0" applyProtection="0"/>
    <xf numFmtId="0" fontId="7" fillId="6" borderId="0" applyNumberFormat="0" applyBorder="0" applyAlignment="0" applyProtection="0"/>
    <xf numFmtId="0" fontId="7" fillId="3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6" borderId="0" applyNumberFormat="0" applyBorder="0" applyAlignment="0" applyProtection="0"/>
    <xf numFmtId="0" fontId="7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9" fillId="6" borderId="0" applyNumberFormat="0" applyBorder="0" applyAlignment="0" applyProtection="0"/>
    <xf numFmtId="0" fontId="10" fillId="11" borderId="1" applyNumberFormat="0" applyAlignment="0" applyProtection="0"/>
    <xf numFmtId="0" fontId="11" fillId="12" borderId="2" applyNumberFormat="0" applyAlignment="0" applyProtection="0"/>
    <xf numFmtId="0" fontId="12" fillId="0" borderId="3" applyNumberFormat="0" applyFill="0" applyAlignment="0" applyProtection="0"/>
    <xf numFmtId="0" fontId="8" fillId="13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13" fillId="7" borderId="1" applyNumberFormat="0" applyAlignment="0" applyProtection="0"/>
    <xf numFmtId="0" fontId="15" fillId="17" borderId="0" applyNumberFormat="0" applyBorder="0" applyAlignment="0" applyProtection="0"/>
    <xf numFmtId="0" fontId="16" fillId="7" borderId="0" applyNumberFormat="0" applyBorder="0" applyAlignment="0" applyProtection="0"/>
    <xf numFmtId="0" fontId="6" fillId="4" borderId="4" applyNumberFormat="0" applyFont="0" applyAlignment="0" applyProtection="0"/>
    <xf numFmtId="0" fontId="18" fillId="11" borderId="5" applyNumberFormat="0" applyAlignment="0" applyProtection="0"/>
    <xf numFmtId="0" fontId="1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3" fillId="0" borderId="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9" fontId="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6" fillId="0" borderId="0" applyFont="0" applyFill="0" applyBorder="0" applyAlignment="0" applyProtection="0"/>
    <xf numFmtId="0" fontId="6" fillId="0" borderId="0"/>
    <xf numFmtId="0" fontId="15" fillId="17" borderId="0" applyNumberFormat="0" applyBorder="0" applyAlignment="0" applyProtection="0"/>
    <xf numFmtId="0" fontId="16" fillId="7" borderId="0" applyNumberFormat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  <xf numFmtId="164" fontId="6" fillId="0" borderId="0" applyFont="0" applyFill="0" applyBorder="0" applyAlignment="0" applyProtection="0"/>
    <xf numFmtId="0" fontId="1" fillId="0" borderId="0"/>
  </cellStyleXfs>
  <cellXfs count="195">
    <xf numFmtId="0" fontId="0" fillId="0" borderId="0" xfId="0"/>
    <xf numFmtId="0" fontId="29" fillId="0" borderId="0" xfId="0" applyFont="1"/>
    <xf numFmtId="0" fontId="26" fillId="0" borderId="0" xfId="33" applyFont="1" applyAlignment="1">
      <alignment vertical="center"/>
    </xf>
    <xf numFmtId="0" fontId="30" fillId="0" borderId="0" xfId="33" applyFont="1" applyAlignment="1">
      <alignment vertical="center"/>
    </xf>
    <xf numFmtId="3" fontId="30" fillId="0" borderId="0" xfId="33" applyNumberFormat="1" applyFont="1" applyAlignment="1">
      <alignment horizontal="center"/>
    </xf>
    <xf numFmtId="0" fontId="30" fillId="0" borderId="0" xfId="33" applyFont="1"/>
    <xf numFmtId="4" fontId="30" fillId="0" borderId="0" xfId="33" applyNumberFormat="1" applyFont="1"/>
    <xf numFmtId="0" fontId="27" fillId="0" borderId="10" xfId="33" applyFont="1" applyBorder="1" applyAlignment="1">
      <alignment horizontal="left"/>
    </xf>
    <xf numFmtId="3" fontId="29" fillId="0" borderId="10" xfId="33" applyNumberFormat="1" applyFont="1" applyBorder="1" applyAlignment="1">
      <alignment horizontal="center"/>
    </xf>
    <xf numFmtId="0" fontId="29" fillId="0" borderId="10" xfId="33" applyFont="1" applyBorder="1"/>
    <xf numFmtId="3" fontId="31" fillId="0" borderId="27" xfId="33" applyNumberFormat="1" applyFont="1" applyBorder="1" applyAlignment="1">
      <alignment horizontal="center" vertical="center"/>
    </xf>
    <xf numFmtId="0" fontId="28" fillId="0" borderId="16" xfId="0" applyFont="1" applyBorder="1" applyAlignment="1">
      <alignment vertical="center"/>
    </xf>
    <xf numFmtId="0" fontId="28" fillId="0" borderId="17" xfId="0" applyFont="1" applyBorder="1" applyAlignment="1">
      <alignment horizontal="center" vertical="center"/>
    </xf>
    <xf numFmtId="3" fontId="28" fillId="0" borderId="17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31" fillId="0" borderId="19" xfId="0" quotePrefix="1" applyFont="1" applyBorder="1" applyAlignment="1">
      <alignment horizontal="left" vertical="center"/>
    </xf>
    <xf numFmtId="0" fontId="31" fillId="0" borderId="12" xfId="0" applyFont="1" applyBorder="1" applyAlignment="1">
      <alignment horizontal="center" vertical="center"/>
    </xf>
    <xf numFmtId="0" fontId="31" fillId="0" borderId="12" xfId="0" applyFont="1" applyBorder="1" applyAlignment="1">
      <alignment vertical="center"/>
    </xf>
    <xf numFmtId="4" fontId="31" fillId="0" borderId="28" xfId="0" applyNumberFormat="1" applyFont="1" applyBorder="1" applyAlignment="1">
      <alignment vertical="center"/>
    </xf>
    <xf numFmtId="0" fontId="28" fillId="0" borderId="11" xfId="0" quotePrefix="1" applyFont="1" applyBorder="1" applyAlignment="1">
      <alignment horizontal="left" vertical="center"/>
    </xf>
    <xf numFmtId="0" fontId="28" fillId="0" borderId="13" xfId="0" applyFont="1" applyBorder="1" applyAlignment="1">
      <alignment horizontal="center" vertical="center"/>
    </xf>
    <xf numFmtId="3" fontId="28" fillId="0" borderId="13" xfId="0" applyNumberFormat="1" applyFont="1" applyBorder="1" applyAlignment="1">
      <alignment vertical="center"/>
    </xf>
    <xf numFmtId="4" fontId="28" fillId="0" borderId="26" xfId="0" applyNumberFormat="1" applyFont="1" applyBorder="1" applyAlignment="1" applyProtection="1">
      <alignment vertical="center"/>
      <protection locked="0"/>
    </xf>
    <xf numFmtId="4" fontId="28" fillId="0" borderId="15" xfId="0" applyNumberFormat="1" applyFont="1" applyBorder="1" applyAlignment="1">
      <alignment vertical="center"/>
    </xf>
    <xf numFmtId="3" fontId="28" fillId="0" borderId="13" xfId="0" applyNumberFormat="1" applyFont="1" applyBorder="1" applyAlignment="1" applyProtection="1">
      <alignment vertical="center"/>
      <protection locked="0"/>
    </xf>
    <xf numFmtId="4" fontId="28" fillId="0" borderId="13" xfId="0" applyNumberFormat="1" applyFont="1" applyBorder="1" applyAlignment="1" applyProtection="1">
      <alignment vertical="center"/>
      <protection locked="0"/>
    </xf>
    <xf numFmtId="0" fontId="28" fillId="0" borderId="11" xfId="0" applyFont="1" applyBorder="1" applyAlignment="1">
      <alignment vertical="center"/>
    </xf>
    <xf numFmtId="3" fontId="31" fillId="0" borderId="12" xfId="0" applyNumberFormat="1" applyFont="1" applyBorder="1" applyAlignment="1">
      <alignment vertical="center"/>
    </xf>
    <xf numFmtId="4" fontId="31" fillId="0" borderId="12" xfId="0" applyNumberFormat="1" applyFont="1" applyBorder="1" applyAlignment="1">
      <alignment vertical="center"/>
    </xf>
    <xf numFmtId="4" fontId="28" fillId="0" borderId="13" xfId="0" applyNumberFormat="1" applyFont="1" applyBorder="1" applyAlignment="1">
      <alignment vertical="center"/>
    </xf>
    <xf numFmtId="14" fontId="28" fillId="0" borderId="11" xfId="0" quotePrefix="1" applyNumberFormat="1" applyFont="1" applyBorder="1" applyAlignment="1">
      <alignment horizontal="left" vertical="center"/>
    </xf>
    <xf numFmtId="14" fontId="28" fillId="0" borderId="11" xfId="0" applyNumberFormat="1" applyFont="1" applyBorder="1" applyAlignment="1">
      <alignment vertical="center"/>
    </xf>
    <xf numFmtId="3" fontId="28" fillId="0" borderId="11" xfId="0" quotePrefix="1" applyNumberFormat="1" applyFont="1" applyBorder="1" applyAlignment="1">
      <alignment horizontal="left" vertical="center"/>
    </xf>
    <xf numFmtId="0" fontId="28" fillId="0" borderId="13" xfId="0" quotePrefix="1" applyFont="1" applyBorder="1" applyAlignment="1">
      <alignment horizontal="center" vertical="center"/>
    </xf>
    <xf numFmtId="1" fontId="28" fillId="0" borderId="13" xfId="0" applyNumberFormat="1" applyFont="1" applyBorder="1" applyAlignment="1">
      <alignment vertical="center"/>
    </xf>
    <xf numFmtId="0" fontId="28" fillId="0" borderId="13" xfId="0" applyFont="1" applyBorder="1" applyAlignment="1">
      <alignment vertical="center"/>
    </xf>
    <xf numFmtId="14" fontId="28" fillId="0" borderId="20" xfId="0" quotePrefix="1" applyNumberFormat="1" applyFont="1" applyBorder="1" applyAlignment="1">
      <alignment horizontal="left" vertical="center"/>
    </xf>
    <xf numFmtId="0" fontId="28" fillId="0" borderId="21" xfId="0" applyFont="1" applyBorder="1" applyAlignment="1">
      <alignment horizontal="center" vertical="center"/>
    </xf>
    <xf numFmtId="3" fontId="28" fillId="0" borderId="21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14" fontId="31" fillId="0" borderId="11" xfId="0" quotePrefix="1" applyNumberFormat="1" applyFont="1" applyBorder="1" applyAlignment="1">
      <alignment horizontal="left" vertical="center"/>
    </xf>
    <xf numFmtId="0" fontId="31" fillId="0" borderId="13" xfId="0" applyFont="1" applyBorder="1" applyAlignment="1">
      <alignment horizontal="center" vertical="center"/>
    </xf>
    <xf numFmtId="3" fontId="31" fillId="0" borderId="13" xfId="0" applyNumberFormat="1" applyFont="1" applyBorder="1" applyAlignment="1">
      <alignment vertical="center"/>
    </xf>
    <xf numFmtId="4" fontId="31" fillId="0" borderId="13" xfId="0" applyNumberFormat="1" applyFont="1" applyBorder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28" fillId="0" borderId="20" xfId="0" applyFont="1" applyBorder="1" applyAlignment="1">
      <alignment vertical="center"/>
    </xf>
    <xf numFmtId="14" fontId="28" fillId="0" borderId="11" xfId="0" quotePrefix="1" applyNumberFormat="1" applyFont="1" applyBorder="1" applyAlignment="1" applyProtection="1">
      <alignment horizontal="left" vertical="center"/>
      <protection locked="0"/>
    </xf>
    <xf numFmtId="0" fontId="28" fillId="0" borderId="13" xfId="0" applyFont="1" applyBorder="1" applyAlignment="1" applyProtection="1">
      <alignment horizontal="center" vertical="center"/>
      <protection locked="0"/>
    </xf>
    <xf numFmtId="14" fontId="28" fillId="0" borderId="11" xfId="0" applyNumberFormat="1" applyFont="1" applyBorder="1" applyAlignment="1" applyProtection="1">
      <alignment vertical="center"/>
      <protection locked="0"/>
    </xf>
    <xf numFmtId="0" fontId="28" fillId="0" borderId="11" xfId="0" quotePrefix="1" applyFont="1" applyBorder="1" applyAlignment="1" applyProtection="1">
      <alignment horizontal="left" vertical="center"/>
      <protection locked="0"/>
    </xf>
    <xf numFmtId="0" fontId="28" fillId="0" borderId="23" xfId="0" quotePrefix="1" applyFont="1" applyBorder="1" applyAlignment="1">
      <alignment horizontal="left" vertical="center"/>
    </xf>
    <xf numFmtId="0" fontId="28" fillId="0" borderId="24" xfId="0" applyFont="1" applyBorder="1" applyAlignment="1">
      <alignment horizontal="center" vertical="center"/>
    </xf>
    <xf numFmtId="3" fontId="28" fillId="0" borderId="24" xfId="0" applyNumberFormat="1" applyFont="1" applyBorder="1" applyAlignment="1">
      <alignment vertical="center"/>
    </xf>
    <xf numFmtId="4" fontId="28" fillId="0" borderId="25" xfId="0" applyNumberFormat="1" applyFont="1" applyBorder="1" applyAlignment="1">
      <alignment horizontal="right" vertical="center"/>
    </xf>
    <xf numFmtId="0" fontId="28" fillId="0" borderId="24" xfId="0" applyFont="1" applyBorder="1" applyAlignment="1">
      <alignment vertical="center"/>
    </xf>
    <xf numFmtId="0" fontId="31" fillId="0" borderId="14" xfId="0" applyFont="1" applyBorder="1" applyAlignment="1">
      <alignment vertical="center"/>
    </xf>
    <xf numFmtId="0" fontId="28" fillId="0" borderId="14" xfId="0" applyFont="1" applyBorder="1" applyAlignment="1">
      <alignment vertical="center"/>
    </xf>
    <xf numFmtId="0" fontId="28" fillId="0" borderId="24" xfId="0" applyFont="1" applyBorder="1" applyAlignment="1">
      <alignment horizontal="left" vertical="center"/>
    </xf>
    <xf numFmtId="0" fontId="28" fillId="0" borderId="14" xfId="0" quotePrefix="1" applyFont="1" applyBorder="1" applyAlignment="1">
      <alignment horizontal="left" vertical="center"/>
    </xf>
    <xf numFmtId="0" fontId="31" fillId="0" borderId="14" xfId="0" quotePrefix="1" applyFont="1" applyBorder="1" applyAlignment="1">
      <alignment horizontal="left" vertical="center"/>
    </xf>
    <xf numFmtId="2" fontId="29" fillId="0" borderId="10" xfId="33" applyNumberFormat="1" applyFont="1" applyBorder="1" applyAlignment="1">
      <alignment horizontal="left"/>
    </xf>
    <xf numFmtId="0" fontId="31" fillId="0" borderId="0" xfId="0" applyFont="1" applyAlignment="1">
      <alignment vertical="center"/>
    </xf>
    <xf numFmtId="0" fontId="28" fillId="0" borderId="33" xfId="0" applyFont="1" applyBorder="1" applyAlignment="1">
      <alignment vertical="center"/>
    </xf>
    <xf numFmtId="3" fontId="28" fillId="0" borderId="33" xfId="33" applyNumberFormat="1" applyFont="1" applyBorder="1" applyAlignment="1">
      <alignment horizontal="center"/>
    </xf>
    <xf numFmtId="0" fontId="28" fillId="0" borderId="33" xfId="0" applyFont="1" applyBorder="1" applyAlignment="1">
      <alignment horizontal="left" vertical="center"/>
    </xf>
    <xf numFmtId="3" fontId="28" fillId="0" borderId="33" xfId="33" applyNumberFormat="1" applyFont="1" applyBorder="1"/>
    <xf numFmtId="0" fontId="28" fillId="0" borderId="33" xfId="0" applyFont="1" applyBorder="1" applyAlignment="1">
      <alignment horizontal="center" vertical="center"/>
    </xf>
    <xf numFmtId="14" fontId="28" fillId="0" borderId="33" xfId="0" applyNumberFormat="1" applyFont="1" applyBorder="1" applyAlignment="1">
      <alignment horizontal="center" vertical="center"/>
    </xf>
    <xf numFmtId="0" fontId="28" fillId="0" borderId="33" xfId="0" applyFont="1" applyBorder="1" applyAlignment="1">
      <alignment horizontal="left" vertical="center" indent="1"/>
    </xf>
    <xf numFmtId="0" fontId="26" fillId="0" borderId="0" xfId="33" applyFont="1" applyAlignment="1">
      <alignment horizontal="center" vertical="center"/>
    </xf>
    <xf numFmtId="0" fontId="30" fillId="0" borderId="0" xfId="33" applyFont="1" applyAlignment="1">
      <alignment horizontal="center" vertical="center"/>
    </xf>
    <xf numFmtId="4" fontId="26" fillId="0" borderId="0" xfId="0" applyNumberFormat="1" applyFont="1" applyAlignment="1">
      <alignment horizontal="center" vertical="center"/>
    </xf>
    <xf numFmtId="0" fontId="25" fillId="0" borderId="0" xfId="33" applyFont="1" applyAlignment="1">
      <alignment horizontal="center" vertical="center"/>
    </xf>
    <xf numFmtId="0" fontId="25" fillId="0" borderId="0" xfId="33" applyFont="1" applyAlignment="1">
      <alignment horizontal="left" vertical="center"/>
    </xf>
    <xf numFmtId="4" fontId="25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0" xfId="33" applyFont="1" applyAlignment="1">
      <alignment vertical="center"/>
    </xf>
    <xf numFmtId="168" fontId="25" fillId="0" borderId="0" xfId="44" applyNumberFormat="1" applyFont="1" applyAlignment="1">
      <alignment horizontal="center" vertical="center"/>
    </xf>
    <xf numFmtId="2" fontId="33" fillId="0" borderId="0" xfId="0" applyNumberFormat="1" applyFont="1" applyAlignment="1">
      <alignment horizontal="center" vertical="center" wrapText="1"/>
    </xf>
    <xf numFmtId="0" fontId="34" fillId="0" borderId="0" xfId="33" applyFont="1"/>
    <xf numFmtId="3" fontId="33" fillId="0" borderId="0" xfId="33" applyNumberFormat="1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4" fontId="34" fillId="0" borderId="0" xfId="0" applyNumberFormat="1" applyFont="1" applyAlignment="1">
      <alignment vertical="center"/>
    </xf>
    <xf numFmtId="0" fontId="31" fillId="0" borderId="11" xfId="0" quotePrefix="1" applyFont="1" applyBorder="1" applyAlignment="1">
      <alignment horizontal="left" vertical="center"/>
    </xf>
    <xf numFmtId="0" fontId="31" fillId="0" borderId="13" xfId="0" applyFont="1" applyBorder="1" applyAlignment="1">
      <alignment vertical="center"/>
    </xf>
    <xf numFmtId="0" fontId="28" fillId="0" borderId="14" xfId="33" applyFont="1" applyBorder="1" applyAlignment="1">
      <alignment horizontal="center" vertical="center"/>
    </xf>
    <xf numFmtId="3" fontId="28" fillId="19" borderId="13" xfId="0" applyNumberFormat="1" applyFont="1" applyFill="1" applyBorder="1" applyAlignment="1" applyProtection="1">
      <alignment vertical="center"/>
      <protection locked="0"/>
    </xf>
    <xf numFmtId="168" fontId="34" fillId="0" borderId="0" xfId="44" applyNumberFormat="1" applyFont="1" applyAlignment="1">
      <alignment vertical="center"/>
    </xf>
    <xf numFmtId="167" fontId="26" fillId="0" borderId="0" xfId="0" applyNumberFormat="1" applyFont="1" applyAlignment="1">
      <alignment horizontal="center" vertical="center"/>
    </xf>
    <xf numFmtId="166" fontId="26" fillId="0" borderId="0" xfId="33" applyNumberFormat="1" applyFont="1" applyAlignment="1">
      <alignment horizontal="center" vertical="center"/>
    </xf>
    <xf numFmtId="166" fontId="26" fillId="0" borderId="0" xfId="0" applyNumberFormat="1" applyFont="1" applyAlignment="1">
      <alignment horizontal="center" vertical="center"/>
    </xf>
    <xf numFmtId="167" fontId="25" fillId="0" borderId="0" xfId="33" applyNumberFormat="1" applyFont="1" applyAlignment="1">
      <alignment horizontal="center" vertical="center"/>
    </xf>
    <xf numFmtId="39" fontId="25" fillId="0" borderId="0" xfId="33" applyNumberFormat="1" applyFont="1" applyAlignment="1">
      <alignment horizontal="left" vertical="center"/>
    </xf>
    <xf numFmtId="3" fontId="28" fillId="19" borderId="13" xfId="0" applyNumberFormat="1" applyFont="1" applyFill="1" applyBorder="1" applyAlignment="1">
      <alignment vertical="center"/>
    </xf>
    <xf numFmtId="4" fontId="28" fillId="18" borderId="13" xfId="0" applyNumberFormat="1" applyFont="1" applyFill="1" applyBorder="1" applyAlignment="1" applyProtection="1">
      <alignment vertical="center"/>
      <protection locked="0"/>
    </xf>
    <xf numFmtId="3" fontId="28" fillId="18" borderId="13" xfId="0" applyNumberFormat="1" applyFont="1" applyFill="1" applyBorder="1" applyAlignment="1">
      <alignment vertical="center"/>
    </xf>
    <xf numFmtId="3" fontId="28" fillId="18" borderId="13" xfId="0" applyNumberFormat="1" applyFont="1" applyFill="1" applyBorder="1" applyAlignment="1" applyProtection="1">
      <alignment vertical="center"/>
      <protection locked="0"/>
    </xf>
    <xf numFmtId="4" fontId="28" fillId="18" borderId="13" xfId="0" applyNumberFormat="1" applyFont="1" applyFill="1" applyBorder="1" applyAlignment="1">
      <alignment vertical="center"/>
    </xf>
    <xf numFmtId="167" fontId="25" fillId="18" borderId="0" xfId="0" applyNumberFormat="1" applyFont="1" applyFill="1" applyAlignment="1">
      <alignment horizontal="center" vertical="center"/>
    </xf>
    <xf numFmtId="166" fontId="25" fillId="18" borderId="0" xfId="33" applyNumberFormat="1" applyFont="1" applyFill="1" applyAlignment="1">
      <alignment horizontal="center" vertical="center"/>
    </xf>
    <xf numFmtId="165" fontId="28" fillId="18" borderId="13" xfId="0" applyNumberFormat="1" applyFont="1" applyFill="1" applyBorder="1" applyAlignment="1" applyProtection="1">
      <alignment vertical="center"/>
      <protection locked="0"/>
    </xf>
    <xf numFmtId="167" fontId="25" fillId="18" borderId="0" xfId="33" applyNumberFormat="1" applyFont="1" applyFill="1" applyAlignment="1">
      <alignment horizontal="center" vertical="center"/>
    </xf>
    <xf numFmtId="3" fontId="28" fillId="20" borderId="13" xfId="0" applyNumberFormat="1" applyFont="1" applyFill="1" applyBorder="1" applyAlignment="1" applyProtection="1">
      <alignment vertical="center"/>
      <protection locked="0"/>
    </xf>
    <xf numFmtId="4" fontId="28" fillId="20" borderId="13" xfId="0" applyNumberFormat="1" applyFont="1" applyFill="1" applyBorder="1" applyAlignment="1" applyProtection="1">
      <alignment vertical="center"/>
      <protection locked="0"/>
    </xf>
    <xf numFmtId="4" fontId="28" fillId="20" borderId="13" xfId="0" applyNumberFormat="1" applyFont="1" applyFill="1" applyBorder="1" applyAlignment="1">
      <alignment vertical="center"/>
    </xf>
    <xf numFmtId="4" fontId="31" fillId="0" borderId="0" xfId="33" applyNumberFormat="1" applyFont="1" applyAlignment="1">
      <alignment horizontal="center" vertical="center"/>
    </xf>
    <xf numFmtId="3" fontId="31" fillId="0" borderId="11" xfId="0" quotePrefix="1" applyNumberFormat="1" applyFont="1" applyBorder="1" applyAlignment="1">
      <alignment horizontal="left" vertical="center"/>
    </xf>
    <xf numFmtId="0" fontId="6" fillId="0" borderId="0" xfId="0" applyFont="1"/>
    <xf numFmtId="3" fontId="28" fillId="20" borderId="13" xfId="0" applyNumberFormat="1" applyFont="1" applyFill="1" applyBorder="1" applyAlignment="1" applyProtection="1">
      <alignment horizontal="right" vertical="center"/>
      <protection locked="0"/>
    </xf>
    <xf numFmtId="3" fontId="0" fillId="0" borderId="0" xfId="0" applyNumberFormat="1"/>
    <xf numFmtId="165" fontId="28" fillId="0" borderId="13" xfId="0" applyNumberFormat="1" applyFont="1" applyBorder="1" applyAlignment="1" applyProtection="1">
      <alignment vertical="center"/>
      <protection locked="0"/>
    </xf>
    <xf numFmtId="165" fontId="28" fillId="19" borderId="13" xfId="0" applyNumberFormat="1" applyFont="1" applyFill="1" applyBorder="1" applyAlignment="1" applyProtection="1">
      <alignment vertical="center"/>
      <protection locked="0"/>
    </xf>
    <xf numFmtId="4" fontId="28" fillId="23" borderId="13" xfId="0" applyNumberFormat="1" applyFont="1" applyFill="1" applyBorder="1" applyAlignment="1" applyProtection="1">
      <alignment vertical="center"/>
      <protection locked="0"/>
    </xf>
    <xf numFmtId="164" fontId="28" fillId="0" borderId="33" xfId="48" applyFont="1" applyBorder="1"/>
    <xf numFmtId="4" fontId="28" fillId="19" borderId="13" xfId="0" applyNumberFormat="1" applyFont="1" applyFill="1" applyBorder="1" applyAlignment="1" applyProtection="1">
      <alignment vertical="center"/>
      <protection locked="0"/>
    </xf>
    <xf numFmtId="169" fontId="28" fillId="0" borderId="33" xfId="48" applyNumberFormat="1" applyFont="1" applyBorder="1" applyAlignment="1">
      <alignment horizontal="right"/>
    </xf>
    <xf numFmtId="3" fontId="30" fillId="0" borderId="0" xfId="33" applyNumberFormat="1" applyFont="1"/>
    <xf numFmtId="2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2" fontId="0" fillId="0" borderId="0" xfId="0" applyNumberFormat="1" applyAlignment="1">
      <alignment horizontal="left"/>
    </xf>
    <xf numFmtId="4" fontId="0" fillId="0" borderId="0" xfId="0" applyNumberFormat="1" applyAlignment="1">
      <alignment horizontal="center"/>
    </xf>
    <xf numFmtId="0" fontId="38" fillId="21" borderId="0" xfId="0" applyFont="1" applyFill="1"/>
    <xf numFmtId="0" fontId="39" fillId="0" borderId="0" xfId="0" applyFont="1"/>
    <xf numFmtId="0" fontId="40" fillId="0" borderId="0" xfId="0" applyFont="1"/>
    <xf numFmtId="0" fontId="38" fillId="22" borderId="0" xfId="0" applyFont="1" applyFill="1"/>
    <xf numFmtId="0" fontId="39" fillId="22" borderId="0" xfId="0" applyFont="1" applyFill="1"/>
    <xf numFmtId="164" fontId="39" fillId="22" borderId="0" xfId="48" applyFont="1" applyFill="1"/>
    <xf numFmtId="3" fontId="39" fillId="22" borderId="0" xfId="0" applyNumberFormat="1" applyFont="1" applyFill="1"/>
    <xf numFmtId="0" fontId="42" fillId="22" borderId="0" xfId="0" applyFont="1" applyFill="1"/>
    <xf numFmtId="0" fontId="43" fillId="0" borderId="0" xfId="0" applyFont="1"/>
    <xf numFmtId="0" fontId="37" fillId="24" borderId="0" xfId="0" applyFont="1" applyFill="1"/>
    <xf numFmtId="0" fontId="41" fillId="22" borderId="0" xfId="0" applyFont="1" applyFill="1"/>
    <xf numFmtId="0" fontId="41" fillId="0" borderId="0" xfId="55" applyFont="1"/>
    <xf numFmtId="0" fontId="44" fillId="22" borderId="0" xfId="0" applyFont="1" applyFill="1"/>
    <xf numFmtId="0" fontId="41" fillId="0" borderId="0" xfId="0" applyFont="1"/>
    <xf numFmtId="0" fontId="41" fillId="0" borderId="0" xfId="50" applyFont="1"/>
    <xf numFmtId="3" fontId="28" fillId="0" borderId="0" xfId="33" applyNumberFormat="1" applyFont="1" applyAlignment="1">
      <alignment horizontal="center"/>
    </xf>
    <xf numFmtId="164" fontId="28" fillId="0" borderId="0" xfId="48" applyFont="1"/>
    <xf numFmtId="0" fontId="28" fillId="0" borderId="0" xfId="33" applyFont="1"/>
    <xf numFmtId="0" fontId="28" fillId="0" borderId="0" xfId="0" applyFont="1"/>
    <xf numFmtId="0" fontId="28" fillId="0" borderId="33" xfId="0" quotePrefix="1" applyFont="1" applyBorder="1" applyAlignment="1">
      <alignment horizontal="center"/>
    </xf>
    <xf numFmtId="165" fontId="28" fillId="18" borderId="14" xfId="0" applyNumberFormat="1" applyFont="1" applyFill="1" applyBorder="1" applyAlignment="1" applyProtection="1">
      <alignment vertical="center"/>
      <protection locked="0"/>
    </xf>
    <xf numFmtId="0" fontId="6" fillId="0" borderId="33" xfId="0" applyFont="1" applyBorder="1" applyAlignment="1">
      <alignment horizontal="center"/>
    </xf>
    <xf numFmtId="0" fontId="0" fillId="0" borderId="33" xfId="0" applyBorder="1" applyAlignment="1">
      <alignment horizontal="left" indent="1"/>
    </xf>
    <xf numFmtId="4" fontId="0" fillId="0" borderId="33" xfId="0" applyNumberFormat="1" applyBorder="1" applyAlignment="1">
      <alignment horizontal="center"/>
    </xf>
    <xf numFmtId="0" fontId="27" fillId="0" borderId="33" xfId="0" applyFont="1" applyBorder="1"/>
    <xf numFmtId="0" fontId="0" fillId="0" borderId="33" xfId="0" applyBorder="1" applyAlignment="1">
      <alignment horizontal="center"/>
    </xf>
    <xf numFmtId="3" fontId="0" fillId="0" borderId="33" xfId="0" applyNumberFormat="1" applyBorder="1"/>
    <xf numFmtId="0" fontId="6" fillId="0" borderId="33" xfId="0" applyFont="1" applyBorder="1" applyAlignment="1">
      <alignment horizontal="left" indent="1"/>
    </xf>
    <xf numFmtId="167" fontId="26" fillId="18" borderId="0" xfId="0" applyNumberFormat="1" applyFont="1" applyFill="1" applyAlignment="1">
      <alignment horizontal="center" vertical="center"/>
    </xf>
    <xf numFmtId="0" fontId="27" fillId="0" borderId="0" xfId="0" applyFont="1" applyAlignment="1">
      <alignment vertical="center"/>
    </xf>
    <xf numFmtId="0" fontId="6" fillId="0" borderId="33" xfId="0" applyFont="1" applyBorder="1"/>
    <xf numFmtId="0" fontId="6" fillId="0" borderId="0" xfId="0" applyFont="1" applyAlignment="1">
      <alignment vertical="center"/>
    </xf>
    <xf numFmtId="4" fontId="28" fillId="0" borderId="33" xfId="33" applyNumberFormat="1" applyFont="1" applyBorder="1"/>
    <xf numFmtId="0" fontId="37" fillId="0" borderId="0" xfId="0" applyFont="1"/>
    <xf numFmtId="0" fontId="37" fillId="22" borderId="0" xfId="0" applyFont="1" applyFill="1"/>
    <xf numFmtId="0" fontId="28" fillId="0" borderId="14" xfId="0" applyFont="1" applyBorder="1" applyAlignment="1">
      <alignment horizontal="left" vertical="center"/>
    </xf>
    <xf numFmtId="0" fontId="25" fillId="0" borderId="0" xfId="33" applyFont="1"/>
    <xf numFmtId="2" fontId="39" fillId="0" borderId="0" xfId="49" applyNumberFormat="1" applyFont="1"/>
    <xf numFmtId="2" fontId="37" fillId="0" borderId="0" xfId="49" applyNumberFormat="1" applyFont="1"/>
    <xf numFmtId="2" fontId="41" fillId="0" borderId="0" xfId="49" applyNumberFormat="1" applyFont="1"/>
    <xf numFmtId="4" fontId="0" fillId="0" borderId="0" xfId="0" applyNumberFormat="1"/>
    <xf numFmtId="4" fontId="28" fillId="0" borderId="0" xfId="33" applyNumberFormat="1" applyFont="1"/>
    <xf numFmtId="0" fontId="28" fillId="25" borderId="38" xfId="0" applyFont="1" applyFill="1" applyBorder="1" applyAlignment="1">
      <alignment vertical="center"/>
    </xf>
    <xf numFmtId="0" fontId="0" fillId="0" borderId="0" xfId="0" applyAlignment="1">
      <alignment horizontal="right"/>
    </xf>
    <xf numFmtId="4" fontId="34" fillId="0" borderId="0" xfId="33" applyNumberFormat="1" applyFont="1"/>
    <xf numFmtId="0" fontId="46" fillId="26" borderId="0" xfId="0" applyFont="1" applyFill="1"/>
    <xf numFmtId="4" fontId="31" fillId="0" borderId="33" xfId="33" applyNumberFormat="1" applyFont="1" applyBorder="1" applyAlignment="1">
      <alignment horizontal="center" vertical="center"/>
    </xf>
    <xf numFmtId="0" fontId="31" fillId="0" borderId="34" xfId="33" applyFont="1" applyBorder="1" applyAlignment="1">
      <alignment horizontal="center" vertical="center"/>
    </xf>
    <xf numFmtId="0" fontId="31" fillId="0" borderId="35" xfId="33" applyFont="1" applyBorder="1" applyAlignment="1">
      <alignment horizontal="center" vertical="center"/>
    </xf>
    <xf numFmtId="4" fontId="31" fillId="0" borderId="34" xfId="33" applyNumberFormat="1" applyFont="1" applyBorder="1" applyAlignment="1">
      <alignment horizontal="center" vertical="center"/>
    </xf>
    <xf numFmtId="4" fontId="31" fillId="0" borderId="35" xfId="33" applyNumberFormat="1" applyFont="1" applyBorder="1" applyAlignment="1">
      <alignment horizontal="center" vertical="center"/>
    </xf>
    <xf numFmtId="0" fontId="31" fillId="25" borderId="36" xfId="33" applyFont="1" applyFill="1" applyBorder="1" applyAlignment="1">
      <alignment horizontal="center" vertical="center"/>
    </xf>
    <xf numFmtId="0" fontId="31" fillId="25" borderId="37" xfId="33" applyFont="1" applyFill="1" applyBorder="1" applyAlignment="1">
      <alignment horizontal="center" vertical="center"/>
    </xf>
    <xf numFmtId="2" fontId="27" fillId="0" borderId="0" xfId="0" applyNumberFormat="1" applyFont="1" applyAlignment="1">
      <alignment horizontal="center" vertical="center" wrapText="1"/>
    </xf>
    <xf numFmtId="0" fontId="31" fillId="0" borderId="30" xfId="33" applyFont="1" applyBorder="1" applyAlignment="1">
      <alignment horizontal="center" vertical="center"/>
    </xf>
    <xf numFmtId="0" fontId="31" fillId="0" borderId="16" xfId="0" applyFont="1" applyBorder="1" applyAlignment="1">
      <alignment horizontal="center" vertical="center"/>
    </xf>
    <xf numFmtId="0" fontId="31" fillId="0" borderId="20" xfId="0" applyFont="1" applyBorder="1" applyAlignment="1">
      <alignment horizontal="center" vertical="center"/>
    </xf>
    <xf numFmtId="0" fontId="31" fillId="0" borderId="31" xfId="33" applyFont="1" applyBorder="1" applyAlignment="1">
      <alignment horizontal="center" vertical="center"/>
    </xf>
    <xf numFmtId="0" fontId="31" fillId="0" borderId="17" xfId="0" applyFont="1" applyBorder="1" applyAlignment="1">
      <alignment horizontal="center" vertical="center"/>
    </xf>
    <xf numFmtId="0" fontId="31" fillId="0" borderId="21" xfId="0" applyFont="1" applyBorder="1" applyAlignment="1">
      <alignment horizontal="center" vertical="center"/>
    </xf>
    <xf numFmtId="4" fontId="31" fillId="0" borderId="32" xfId="33" applyNumberFormat="1" applyFont="1" applyBorder="1" applyAlignment="1">
      <alignment horizontal="center" vertical="center"/>
    </xf>
    <xf numFmtId="0" fontId="31" fillId="0" borderId="32" xfId="0" applyFont="1" applyBorder="1" applyAlignment="1">
      <alignment horizontal="center" vertical="center"/>
    </xf>
    <xf numFmtId="0" fontId="31" fillId="0" borderId="17" xfId="33" quotePrefix="1" applyFont="1" applyBorder="1" applyAlignment="1">
      <alignment horizontal="center" vertical="center"/>
    </xf>
    <xf numFmtId="4" fontId="31" fillId="0" borderId="17" xfId="33" applyNumberFormat="1" applyFont="1" applyBorder="1" applyAlignment="1">
      <alignment horizontal="center" vertical="center"/>
    </xf>
    <xf numFmtId="3" fontId="31" fillId="0" borderId="29" xfId="33" applyNumberFormat="1" applyFont="1" applyBorder="1" applyAlignment="1">
      <alignment horizontal="center" vertical="center"/>
    </xf>
    <xf numFmtId="0" fontId="31" fillId="0" borderId="22" xfId="0" applyFont="1" applyBorder="1" applyAlignment="1">
      <alignment horizontal="center" vertical="center"/>
    </xf>
    <xf numFmtId="0" fontId="28" fillId="0" borderId="0" xfId="0" applyFont="1" applyBorder="1" applyAlignment="1">
      <alignment vertical="center"/>
    </xf>
    <xf numFmtId="0" fontId="0" fillId="0" borderId="0" xfId="0" applyBorder="1"/>
  </cellXfs>
  <cellStyles count="112">
    <cellStyle name="20% - Accent1" xfId="2" builtinId="30" customBuiltin="1"/>
    <cellStyle name="20% - Accent2" xfId="3" builtinId="34" customBuiltin="1"/>
    <cellStyle name="20% - Accent3" xfId="4" builtinId="38" customBuiltin="1"/>
    <cellStyle name="20% - Accent4" xfId="5" builtinId="42" customBuiltin="1"/>
    <cellStyle name="20% - Accent5" xfId="6" builtinId="46" customBuiltin="1"/>
    <cellStyle name="20% - Accent6" xfId="7" builtinId="50" customBuiltin="1"/>
    <cellStyle name="20% - Ênfase1 2" xfId="56" xr:uid="{00000000-0005-0000-0000-000000000000}"/>
    <cellStyle name="20% - Ênfase2 2" xfId="57" xr:uid="{00000000-0005-0000-0000-000001000000}"/>
    <cellStyle name="20% - Ênfase3 2" xfId="58" xr:uid="{00000000-0005-0000-0000-000002000000}"/>
    <cellStyle name="20% - Ênfase4 2" xfId="59" xr:uid="{00000000-0005-0000-0000-000003000000}"/>
    <cellStyle name="20% - Ênfase5 2" xfId="60" xr:uid="{00000000-0005-0000-0000-000004000000}"/>
    <cellStyle name="20% - Ênfase6 2" xfId="61" xr:uid="{00000000-0005-0000-0000-000005000000}"/>
    <cellStyle name="40% - Accent1" xfId="8" builtinId="31" customBuiltin="1"/>
    <cellStyle name="40% - Accent2" xfId="9" builtinId="35" customBuiltin="1"/>
    <cellStyle name="40% - Accent3" xfId="10" builtinId="39" customBuiltin="1"/>
    <cellStyle name="40% - Accent4" xfId="11" builtinId="43" customBuiltin="1"/>
    <cellStyle name="40% - Accent5" xfId="12" builtinId="47" customBuiltin="1"/>
    <cellStyle name="40% - Accent6" xfId="13" builtinId="51" customBuiltin="1"/>
    <cellStyle name="40% - Ênfase1 2" xfId="62" xr:uid="{00000000-0005-0000-0000-000006000000}"/>
    <cellStyle name="40% - Ênfase2 2" xfId="63" xr:uid="{00000000-0005-0000-0000-000007000000}"/>
    <cellStyle name="40% - Ênfase3 2" xfId="64" xr:uid="{00000000-0005-0000-0000-000008000000}"/>
    <cellStyle name="40% - Ênfase4 2" xfId="65" xr:uid="{00000000-0005-0000-0000-000009000000}"/>
    <cellStyle name="40% - Ênfase5 2" xfId="66" xr:uid="{00000000-0005-0000-0000-00000A000000}"/>
    <cellStyle name="40% - Ênfase6 2" xfId="67" xr:uid="{00000000-0005-0000-0000-00000B000000}"/>
    <cellStyle name="60% - Accent1" xfId="14" builtinId="32" customBuiltin="1"/>
    <cellStyle name="60% - Accent2" xfId="15" builtinId="36" customBuiltin="1"/>
    <cellStyle name="60% - Accent3" xfId="16" builtinId="40" customBuiltin="1"/>
    <cellStyle name="60% - Accent4" xfId="17" builtinId="44" customBuiltin="1"/>
    <cellStyle name="60% - Accent5" xfId="18" builtinId="48" customBuiltin="1"/>
    <cellStyle name="60% - Accent6" xfId="19" builtinId="52" customBuiltin="1"/>
    <cellStyle name="60% - Ênfase1 2" xfId="68" xr:uid="{00000000-0005-0000-0000-00000C000000}"/>
    <cellStyle name="60% - Ênfase2 2" xfId="69" xr:uid="{00000000-0005-0000-0000-00000D000000}"/>
    <cellStyle name="60% - Ênfase3 2" xfId="70" xr:uid="{00000000-0005-0000-0000-00000E000000}"/>
    <cellStyle name="60% - Ênfase4 2" xfId="71" xr:uid="{00000000-0005-0000-0000-00000F000000}"/>
    <cellStyle name="60% - Ênfase5 2" xfId="72" xr:uid="{00000000-0005-0000-0000-000010000000}"/>
    <cellStyle name="60% - Ênfase6 2" xfId="73" xr:uid="{00000000-0005-0000-0000-000011000000}"/>
    <cellStyle name="Accent1" xfId="24" builtinId="29" customBuiltin="1"/>
    <cellStyle name="Accent2" xfId="25" builtinId="33" customBuiltin="1"/>
    <cellStyle name="Accent3" xfId="26" builtinId="37" customBuiltin="1"/>
    <cellStyle name="Accent4" xfId="27" builtinId="41" customBuiltin="1"/>
    <cellStyle name="Accent5" xfId="28" builtinId="45" customBuiltin="1"/>
    <cellStyle name="Accent6" xfId="29" builtinId="49" customBuiltin="1"/>
    <cellStyle name="Bad" xfId="31" builtinId="27" customBuiltin="1"/>
    <cellStyle name="Bom 2" xfId="74" xr:uid="{00000000-0005-0000-0000-000012000000}"/>
    <cellStyle name="Calculation" xfId="21" builtinId="22" customBuiltin="1"/>
    <cellStyle name="Cálculo 2" xfId="75" xr:uid="{00000000-0005-0000-0000-000013000000}"/>
    <cellStyle name="Célula de Verificação 2" xfId="76" xr:uid="{00000000-0005-0000-0000-000014000000}"/>
    <cellStyle name="Célula Vinculada 2" xfId="77" xr:uid="{00000000-0005-0000-0000-000015000000}"/>
    <cellStyle name="Check Cell" xfId="22" builtinId="23" customBuiltin="1"/>
    <cellStyle name="Comma" xfId="48" builtinId="3"/>
    <cellStyle name="Ênfase1 2" xfId="78" xr:uid="{00000000-0005-0000-0000-000016000000}"/>
    <cellStyle name="Ênfase2 2" xfId="79" xr:uid="{00000000-0005-0000-0000-000017000000}"/>
    <cellStyle name="Ênfase3 2" xfId="80" xr:uid="{00000000-0005-0000-0000-000018000000}"/>
    <cellStyle name="Ênfase4 2" xfId="81" xr:uid="{00000000-0005-0000-0000-000019000000}"/>
    <cellStyle name="Ênfase5 2" xfId="82" xr:uid="{00000000-0005-0000-0000-00001A000000}"/>
    <cellStyle name="Ênfase6 2" xfId="83" xr:uid="{00000000-0005-0000-0000-00001B000000}"/>
    <cellStyle name="Entrada 2" xfId="84" xr:uid="{00000000-0005-0000-0000-00001C000000}"/>
    <cellStyle name="Estilo 1" xfId="1" xr:uid="{00000000-0005-0000-0000-00001D000000}"/>
    <cellStyle name="Explanatory Text" xfId="37" builtinId="53" customBuiltin="1"/>
    <cellStyle name="Good" xfId="20" builtinId="26" customBuiltin="1"/>
    <cellStyle name="Heading 1" xfId="39" builtinId="16" customBuiltin="1"/>
    <cellStyle name="Heading 2" xfId="40" builtinId="17" customBuiltin="1"/>
    <cellStyle name="Heading 3" xfId="41" builtinId="18" customBuiltin="1"/>
    <cellStyle name="Heading 4" xfId="42" builtinId="19" customBuiltin="1"/>
    <cellStyle name="Incorreto 2" xfId="85" xr:uid="{00000000-0005-0000-0000-00001E000000}"/>
    <cellStyle name="Input" xfId="30" builtinId="20" customBuiltin="1"/>
    <cellStyle name="Linked Cell" xfId="23" builtinId="24" customBuiltin="1"/>
    <cellStyle name="Neutra 2" xfId="86" xr:uid="{00000000-0005-0000-0000-00001F000000}"/>
    <cellStyle name="Neutral" xfId="32" builtinId="28" customBuiltin="1"/>
    <cellStyle name="Neutro 2" xfId="104" xr:uid="{00000000-0005-0000-0000-000060000000}"/>
    <cellStyle name="Normal" xfId="0" builtinId="0"/>
    <cellStyle name="Normal 2" xfId="46" xr:uid="{00000000-0005-0000-0000-000021000000}"/>
    <cellStyle name="Normal 2 2" xfId="52" xr:uid="{00000000-0005-0000-0000-000021000000}"/>
    <cellStyle name="Normal 2 2 2" xfId="108" xr:uid="{00000000-0005-0000-0000-000021000000}"/>
    <cellStyle name="Normal 2 3" xfId="99" xr:uid="{00000000-0005-0000-0000-000021000000}"/>
    <cellStyle name="Normal 3" xfId="47" xr:uid="{00000000-0005-0000-0000-000022000000}"/>
    <cellStyle name="Normal 3 2" xfId="53" xr:uid="{00000000-0005-0000-0000-000022000000}"/>
    <cellStyle name="Normal 3 2 2" xfId="109" xr:uid="{00000000-0005-0000-0000-000022000000}"/>
    <cellStyle name="Normal 3 3" xfId="100" xr:uid="{00000000-0005-0000-0000-000022000000}"/>
    <cellStyle name="Normal 4" xfId="45" xr:uid="{00000000-0005-0000-0000-000023000000}"/>
    <cellStyle name="Normal 4 2" xfId="51" xr:uid="{00000000-0005-0000-0000-000023000000}"/>
    <cellStyle name="Normal 4 2 2" xfId="107" xr:uid="{00000000-0005-0000-0000-000023000000}"/>
    <cellStyle name="Normal 4 3" xfId="98" xr:uid="{00000000-0005-0000-0000-000023000000}"/>
    <cellStyle name="Normal 5" xfId="50" xr:uid="{00000000-0005-0000-0000-000035000000}"/>
    <cellStyle name="Normal 5 2" xfId="106" xr:uid="{00000000-0005-0000-0000-000035000000}"/>
    <cellStyle name="Normal 6" xfId="102" xr:uid="{00000000-0005-0000-0000-000061000000}"/>
    <cellStyle name="Normal 7" xfId="55" xr:uid="{00000000-0005-0000-0000-00005A000000}"/>
    <cellStyle name="Normal 8" xfId="111" xr:uid="{1783CA97-3127-4D43-AFD5-2451AA0027F6}"/>
    <cellStyle name="Normal_49OPE" xfId="33" xr:uid="{00000000-0005-0000-0000-000024000000}"/>
    <cellStyle name="Normal_VERTEDOR" xfId="49" xr:uid="{00000000-0005-0000-0000-000025000000}"/>
    <cellStyle name="Nota 2" xfId="87" xr:uid="{00000000-0005-0000-0000-000026000000}"/>
    <cellStyle name="Note" xfId="34" builtinId="10" customBuiltin="1"/>
    <cellStyle name="Output" xfId="35" builtinId="21" customBuiltin="1"/>
    <cellStyle name="Percent" xfId="44" builtinId="5"/>
    <cellStyle name="Porcentagem 2" xfId="97" xr:uid="{00000000-0005-0000-0000-000027000000}"/>
    <cellStyle name="Ruim 2" xfId="103" xr:uid="{00000000-0005-0000-0000-000067000000}"/>
    <cellStyle name="Saída 2" xfId="88" xr:uid="{00000000-0005-0000-0000-000028000000}"/>
    <cellStyle name="Separador de milhares 2" xfId="101" xr:uid="{00000000-0005-0000-0000-000029000000}"/>
    <cellStyle name="Texto de Aviso 2" xfId="89" xr:uid="{00000000-0005-0000-0000-00002A000000}"/>
    <cellStyle name="Texto Explicativo 2" xfId="90" xr:uid="{00000000-0005-0000-0000-00002B000000}"/>
    <cellStyle name="Title" xfId="38" builtinId="15" customBuiltin="1"/>
    <cellStyle name="Título 1 2" xfId="92" xr:uid="{00000000-0005-0000-0000-00002C000000}"/>
    <cellStyle name="Título 2 2" xfId="93" xr:uid="{00000000-0005-0000-0000-00002D000000}"/>
    <cellStyle name="Título 3 2" xfId="94" xr:uid="{00000000-0005-0000-0000-00002E000000}"/>
    <cellStyle name="Título 4 2" xfId="95" xr:uid="{00000000-0005-0000-0000-00002F000000}"/>
    <cellStyle name="Título 5" xfId="91" xr:uid="{00000000-0005-0000-0000-000030000000}"/>
    <cellStyle name="Total" xfId="43" builtinId="25" customBuiltin="1"/>
    <cellStyle name="Total 2" xfId="96" xr:uid="{00000000-0005-0000-0000-000031000000}"/>
    <cellStyle name="Vírgula 2" xfId="54" xr:uid="{00000000-0005-0000-0000-000039000000}"/>
    <cellStyle name="Vírgula 2 2" xfId="110" xr:uid="{00000000-0005-0000-0000-000039000000}"/>
    <cellStyle name="Vírgula 3" xfId="105" xr:uid="{00000000-0005-0000-0000-000068000000}"/>
    <cellStyle name="Warning Text" xfId="36" builtinId="11" customBuiltin="1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33"/>
  <sheetViews>
    <sheetView tabSelected="1" workbookViewId="0">
      <selection activeCell="D1" sqref="D1"/>
    </sheetView>
  </sheetViews>
  <sheetFormatPr defaultColWidth="9.109375" defaultRowHeight="14.4" x14ac:dyDescent="0.3"/>
  <cols>
    <col min="1" max="1" width="27.5546875" style="128" bestFit="1" customWidth="1"/>
    <col min="2" max="2" width="10.33203125" style="128" bestFit="1" customWidth="1"/>
    <col min="3" max="3" width="4.6640625" style="128" customWidth="1"/>
    <col min="4" max="4" width="84.88671875" style="128" customWidth="1"/>
    <col min="5" max="7" width="2.5546875" style="128" customWidth="1"/>
    <col min="8" max="8" width="22.33203125" style="128" bestFit="1" customWidth="1"/>
    <col min="9" max="9" width="15.33203125" style="128" bestFit="1" customWidth="1"/>
    <col min="10" max="10" width="2" style="128" bestFit="1" customWidth="1"/>
    <col min="11" max="11" width="63.5546875" style="128" bestFit="1" customWidth="1"/>
    <col min="12" max="12" width="4.5546875" style="129" customWidth="1"/>
    <col min="13" max="16384" width="9.109375" style="129"/>
  </cols>
  <sheetData>
    <row r="1" spans="1:12" x14ac:dyDescent="0.3">
      <c r="A1" s="127" t="s">
        <v>277</v>
      </c>
      <c r="D1" s="172" t="s">
        <v>905</v>
      </c>
      <c r="E1" s="140"/>
      <c r="H1" s="127" t="s">
        <v>278</v>
      </c>
    </row>
    <row r="2" spans="1:12" x14ac:dyDescent="0.3">
      <c r="A2" s="130" t="s">
        <v>286</v>
      </c>
      <c r="B2" s="131">
        <v>100</v>
      </c>
      <c r="C2" s="128" t="s">
        <v>218</v>
      </c>
      <c r="D2" s="136" t="s">
        <v>505</v>
      </c>
      <c r="E2" s="140"/>
      <c r="H2" s="130" t="s">
        <v>392</v>
      </c>
      <c r="I2" s="132">
        <f>summary!H5*1000</f>
        <v>0</v>
      </c>
      <c r="J2" s="160" t="s">
        <v>447</v>
      </c>
      <c r="K2" s="136" t="s">
        <v>461</v>
      </c>
      <c r="L2" s="140"/>
    </row>
    <row r="3" spans="1:12" x14ac:dyDescent="0.3">
      <c r="A3" s="130" t="s">
        <v>288</v>
      </c>
      <c r="B3" s="131">
        <v>4000</v>
      </c>
      <c r="C3" s="164" t="s">
        <v>69</v>
      </c>
      <c r="D3" s="136" t="s">
        <v>550</v>
      </c>
      <c r="E3" s="140"/>
      <c r="H3" s="130" t="s">
        <v>393</v>
      </c>
      <c r="I3" s="132">
        <f>summary!H6*1000</f>
        <v>6035567.0423940159</v>
      </c>
      <c r="J3" s="160" t="s">
        <v>447</v>
      </c>
      <c r="K3" s="136" t="s">
        <v>462</v>
      </c>
    </row>
    <row r="4" spans="1:12" x14ac:dyDescent="0.3">
      <c r="A4" s="130" t="s">
        <v>287</v>
      </c>
      <c r="B4" s="131">
        <v>10000</v>
      </c>
      <c r="C4" s="164" t="s">
        <v>69</v>
      </c>
      <c r="D4" s="136" t="s">
        <v>549</v>
      </c>
      <c r="H4" s="130" t="s">
        <v>394</v>
      </c>
      <c r="I4" s="132">
        <f>summary!H7*1000</f>
        <v>21601364.787799019</v>
      </c>
      <c r="J4" s="160" t="s">
        <v>447</v>
      </c>
      <c r="K4" s="136" t="s">
        <v>463</v>
      </c>
    </row>
    <row r="5" spans="1:12" x14ac:dyDescent="0.3">
      <c r="A5" s="130" t="s">
        <v>421</v>
      </c>
      <c r="B5" s="131">
        <v>0</v>
      </c>
      <c r="C5" s="164" t="s">
        <v>69</v>
      </c>
      <c r="D5" s="136" t="s">
        <v>552</v>
      </c>
      <c r="H5" s="130" t="s">
        <v>395</v>
      </c>
      <c r="I5" s="132">
        <f>summary!H8*1000</f>
        <v>1580670.5221831461</v>
      </c>
      <c r="J5" s="160" t="s">
        <v>447</v>
      </c>
      <c r="K5" s="136" t="s">
        <v>464</v>
      </c>
    </row>
    <row r="6" spans="1:12" x14ac:dyDescent="0.3">
      <c r="A6" s="130" t="s">
        <v>289</v>
      </c>
      <c r="B6" s="131">
        <v>500</v>
      </c>
      <c r="C6" s="164" t="s">
        <v>4</v>
      </c>
      <c r="D6" s="136" t="s">
        <v>551</v>
      </c>
      <c r="H6" s="130" t="s">
        <v>396</v>
      </c>
      <c r="I6" s="132">
        <f>summary!H9*1000</f>
        <v>1746515.3440399002</v>
      </c>
      <c r="J6" s="160" t="s">
        <v>447</v>
      </c>
      <c r="K6" s="136" t="s">
        <v>465</v>
      </c>
    </row>
    <row r="7" spans="1:12" x14ac:dyDescent="0.3">
      <c r="A7" s="130" t="s">
        <v>290</v>
      </c>
      <c r="B7" s="131">
        <v>8000</v>
      </c>
      <c r="C7" s="164" t="s">
        <v>69</v>
      </c>
      <c r="D7" s="136" t="s">
        <v>548</v>
      </c>
      <c r="H7" s="130" t="s">
        <v>397</v>
      </c>
      <c r="I7" s="132">
        <f>summary!H10*1000</f>
        <v>4564887.8603491271</v>
      </c>
      <c r="J7" s="160" t="s">
        <v>447</v>
      </c>
      <c r="K7" s="136" t="s">
        <v>466</v>
      </c>
    </row>
    <row r="8" spans="1:12" x14ac:dyDescent="0.3">
      <c r="A8" s="130" t="s">
        <v>291</v>
      </c>
      <c r="B8" s="133">
        <v>929000</v>
      </c>
      <c r="C8" s="128" t="s">
        <v>447</v>
      </c>
      <c r="D8" s="136" t="s">
        <v>561</v>
      </c>
      <c r="H8" s="130" t="s">
        <v>398</v>
      </c>
      <c r="I8" s="132">
        <f>summary!H11*1000</f>
        <v>10109063.596593676</v>
      </c>
      <c r="J8" s="160" t="s">
        <v>447</v>
      </c>
      <c r="K8" s="136" t="s">
        <v>467</v>
      </c>
    </row>
    <row r="9" spans="1:12" x14ac:dyDescent="0.3">
      <c r="A9" s="130" t="s">
        <v>292</v>
      </c>
      <c r="B9" s="133">
        <v>1250000</v>
      </c>
      <c r="C9" s="128" t="s">
        <v>447</v>
      </c>
      <c r="D9" s="136" t="s">
        <v>560</v>
      </c>
      <c r="H9" s="130" t="s">
        <v>399</v>
      </c>
      <c r="I9" s="132">
        <f>summary!H12*1000</f>
        <v>0</v>
      </c>
      <c r="J9" s="160" t="s">
        <v>447</v>
      </c>
      <c r="K9" s="136" t="s">
        <v>468</v>
      </c>
    </row>
    <row r="10" spans="1:12" x14ac:dyDescent="0.3">
      <c r="A10" s="134" t="s">
        <v>293</v>
      </c>
      <c r="B10" s="133">
        <v>2</v>
      </c>
      <c r="D10" s="136" t="s">
        <v>565</v>
      </c>
      <c r="H10" s="130" t="s">
        <v>400</v>
      </c>
      <c r="I10" s="132">
        <f>summary!H13*1000</f>
        <v>48146400</v>
      </c>
      <c r="J10" s="160" t="s">
        <v>447</v>
      </c>
      <c r="K10" s="136" t="s">
        <v>469</v>
      </c>
    </row>
    <row r="11" spans="1:12" x14ac:dyDescent="0.3">
      <c r="A11" s="134" t="s">
        <v>294</v>
      </c>
      <c r="B11" s="133">
        <v>7180000</v>
      </c>
      <c r="C11" s="128" t="s">
        <v>447</v>
      </c>
      <c r="D11" s="136" t="s">
        <v>564</v>
      </c>
      <c r="H11" s="130" t="s">
        <v>401</v>
      </c>
      <c r="I11" s="132">
        <f>summary!H14*1000</f>
        <v>10399622.4</v>
      </c>
      <c r="J11" s="160" t="s">
        <v>447</v>
      </c>
      <c r="K11" s="136" t="s">
        <v>470</v>
      </c>
    </row>
    <row r="12" spans="1:12" x14ac:dyDescent="0.3">
      <c r="A12" s="134" t="s">
        <v>295</v>
      </c>
      <c r="B12" s="133">
        <v>2</v>
      </c>
      <c r="D12" s="136" t="s">
        <v>563</v>
      </c>
      <c r="H12" s="130" t="s">
        <v>402</v>
      </c>
      <c r="I12" s="132">
        <f>summary!H15*1000</f>
        <v>6808540.7999999998</v>
      </c>
      <c r="J12" s="160" t="s">
        <v>447</v>
      </c>
      <c r="K12" s="136" t="s">
        <v>471</v>
      </c>
    </row>
    <row r="13" spans="1:12" x14ac:dyDescent="0.3">
      <c r="A13" s="134" t="s">
        <v>296</v>
      </c>
      <c r="B13" s="133">
        <v>12580000</v>
      </c>
      <c r="C13" s="128" t="s">
        <v>447</v>
      </c>
      <c r="D13" s="136" t="s">
        <v>562</v>
      </c>
      <c r="H13" s="130" t="s">
        <v>403</v>
      </c>
      <c r="I13" s="132">
        <f>summary!H16*1000</f>
        <v>5207058.5919201998</v>
      </c>
      <c r="J13" s="160" t="s">
        <v>447</v>
      </c>
      <c r="K13" s="136" t="s">
        <v>472</v>
      </c>
    </row>
    <row r="14" spans="1:12" x14ac:dyDescent="0.3">
      <c r="A14" s="134" t="s">
        <v>297</v>
      </c>
      <c r="B14" s="133">
        <v>2</v>
      </c>
      <c r="D14" s="136" t="s">
        <v>558</v>
      </c>
      <c r="H14" s="130" t="s">
        <v>408</v>
      </c>
      <c r="I14" s="132">
        <f>summary!H17*1000</f>
        <v>98198553.622113228</v>
      </c>
      <c r="J14" s="160" t="s">
        <v>447</v>
      </c>
      <c r="K14" s="136" t="s">
        <v>477</v>
      </c>
    </row>
    <row r="15" spans="1:12" x14ac:dyDescent="0.3">
      <c r="A15" s="134" t="s">
        <v>298</v>
      </c>
      <c r="B15" s="133">
        <v>84000</v>
      </c>
      <c r="C15" s="128" t="s">
        <v>447</v>
      </c>
      <c r="D15" s="136" t="s">
        <v>557</v>
      </c>
      <c r="H15" s="130" t="s">
        <v>404</v>
      </c>
      <c r="I15" s="132">
        <f>summary!H18*1000</f>
        <v>12962209.078118945</v>
      </c>
      <c r="J15" s="160" t="s">
        <v>447</v>
      </c>
      <c r="K15" s="136" t="s">
        <v>473</v>
      </c>
    </row>
    <row r="16" spans="1:12" x14ac:dyDescent="0.3">
      <c r="A16" s="134" t="s">
        <v>299</v>
      </c>
      <c r="B16" s="133">
        <v>0</v>
      </c>
      <c r="D16" s="136" t="s">
        <v>555</v>
      </c>
      <c r="H16" s="130" t="s">
        <v>406</v>
      </c>
      <c r="I16" s="132">
        <f>summary!H19*1000</f>
        <v>111160762.70023218</v>
      </c>
      <c r="J16" s="160" t="s">
        <v>447</v>
      </c>
      <c r="K16" s="136" t="s">
        <v>475</v>
      </c>
    </row>
    <row r="17" spans="1:11" x14ac:dyDescent="0.3">
      <c r="A17" s="134" t="s">
        <v>300</v>
      </c>
      <c r="B17" s="133">
        <v>0</v>
      </c>
      <c r="C17" s="128" t="s">
        <v>447</v>
      </c>
      <c r="D17" s="136" t="s">
        <v>554</v>
      </c>
      <c r="H17" s="130" t="s">
        <v>405</v>
      </c>
      <c r="I17" s="132">
        <f>summary!H20*1000</f>
        <v>13339291.524027862</v>
      </c>
      <c r="J17" s="160" t="s">
        <v>447</v>
      </c>
      <c r="K17" s="136" t="s">
        <v>474</v>
      </c>
    </row>
    <row r="18" spans="1:11" x14ac:dyDescent="0.3">
      <c r="A18" s="130" t="s">
        <v>301</v>
      </c>
      <c r="B18" s="133">
        <v>922000</v>
      </c>
      <c r="C18" s="128" t="s">
        <v>447</v>
      </c>
      <c r="D18" s="136" t="s">
        <v>559</v>
      </c>
      <c r="H18" s="130" t="s">
        <v>411</v>
      </c>
      <c r="I18" s="132">
        <f>summary!H21*1000</f>
        <v>124500054.22426005</v>
      </c>
      <c r="J18" s="160" t="s">
        <v>447</v>
      </c>
      <c r="K18" s="136" t="s">
        <v>480</v>
      </c>
    </row>
    <row r="19" spans="1:11" x14ac:dyDescent="0.3">
      <c r="A19" s="130" t="s">
        <v>302</v>
      </c>
      <c r="B19" s="133">
        <v>1863000</v>
      </c>
      <c r="C19" s="128" t="s">
        <v>447</v>
      </c>
      <c r="D19" s="136" t="s">
        <v>556</v>
      </c>
      <c r="H19" s="130" t="s">
        <v>407</v>
      </c>
      <c r="I19" s="132">
        <f>summary!H24*1000</f>
        <v>22284694.658984862</v>
      </c>
      <c r="J19" s="160" t="s">
        <v>447</v>
      </c>
      <c r="K19" s="136" t="s">
        <v>476</v>
      </c>
    </row>
    <row r="20" spans="1:11" x14ac:dyDescent="0.3">
      <c r="A20" s="130" t="s">
        <v>303</v>
      </c>
      <c r="B20" s="133">
        <v>434000</v>
      </c>
      <c r="C20" s="128" t="s">
        <v>447</v>
      </c>
      <c r="D20" s="136" t="s">
        <v>553</v>
      </c>
      <c r="H20" s="130" t="s">
        <v>409</v>
      </c>
      <c r="I20" s="132">
        <f>summary!H25*1000</f>
        <v>75913858.963128373</v>
      </c>
      <c r="J20" s="160" t="s">
        <v>447</v>
      </c>
      <c r="K20" s="136" t="s">
        <v>478</v>
      </c>
    </row>
    <row r="21" spans="1:11" x14ac:dyDescent="0.3">
      <c r="A21" s="130" t="s">
        <v>304</v>
      </c>
      <c r="B21" s="131">
        <v>0</v>
      </c>
      <c r="C21" s="164" t="s">
        <v>69</v>
      </c>
      <c r="D21" s="136" t="s">
        <v>522</v>
      </c>
      <c r="H21" s="130" t="s">
        <v>410</v>
      </c>
      <c r="I21" s="132">
        <f>summary!H30</f>
        <v>1245.0005422426004</v>
      </c>
      <c r="J21" s="160" t="s">
        <v>447</v>
      </c>
      <c r="K21" s="136" t="s">
        <v>479</v>
      </c>
    </row>
    <row r="22" spans="1:11" x14ac:dyDescent="0.3">
      <c r="A22" s="130" t="s">
        <v>305</v>
      </c>
      <c r="B22" s="131">
        <v>1000</v>
      </c>
      <c r="C22" s="164" t="s">
        <v>69</v>
      </c>
      <c r="D22" s="136" t="s">
        <v>523</v>
      </c>
    </row>
    <row r="23" spans="1:11" x14ac:dyDescent="0.3">
      <c r="A23" s="130" t="s">
        <v>422</v>
      </c>
      <c r="B23" s="131">
        <v>1600</v>
      </c>
      <c r="C23" s="164" t="s">
        <v>69</v>
      </c>
      <c r="D23" s="136" t="s">
        <v>526</v>
      </c>
    </row>
    <row r="24" spans="1:11" x14ac:dyDescent="0.3">
      <c r="A24" s="130" t="s">
        <v>423</v>
      </c>
      <c r="B24" s="131">
        <v>400</v>
      </c>
      <c r="C24" s="164" t="s">
        <v>69</v>
      </c>
      <c r="D24" s="136" t="s">
        <v>525</v>
      </c>
    </row>
    <row r="25" spans="1:11" x14ac:dyDescent="0.3">
      <c r="A25" s="130" t="s">
        <v>424</v>
      </c>
      <c r="B25" s="161">
        <v>500</v>
      </c>
      <c r="C25" s="165" t="s">
        <v>69</v>
      </c>
      <c r="D25" s="136" t="s">
        <v>524</v>
      </c>
    </row>
    <row r="26" spans="1:11" x14ac:dyDescent="0.3">
      <c r="A26" s="130" t="s">
        <v>416</v>
      </c>
      <c r="B26" s="131">
        <v>3000</v>
      </c>
      <c r="C26" s="164" t="s">
        <v>69</v>
      </c>
      <c r="D26" s="136" t="s">
        <v>535</v>
      </c>
    </row>
    <row r="27" spans="1:11" x14ac:dyDescent="0.3">
      <c r="A27" s="130" t="s">
        <v>306</v>
      </c>
      <c r="B27" s="131">
        <v>100</v>
      </c>
      <c r="C27" s="164" t="s">
        <v>4</v>
      </c>
      <c r="D27" s="136" t="s">
        <v>534</v>
      </c>
    </row>
    <row r="28" spans="1:11" x14ac:dyDescent="0.3">
      <c r="A28" s="130" t="s">
        <v>307</v>
      </c>
      <c r="B28" s="131">
        <v>400</v>
      </c>
      <c r="C28" s="164" t="s">
        <v>69</v>
      </c>
      <c r="D28" s="136" t="s">
        <v>533</v>
      </c>
    </row>
    <row r="29" spans="1:11" x14ac:dyDescent="0.3">
      <c r="A29" s="130" t="s">
        <v>308</v>
      </c>
      <c r="B29" s="131">
        <v>300</v>
      </c>
      <c r="C29" s="164" t="s">
        <v>69</v>
      </c>
      <c r="D29" s="136" t="s">
        <v>536</v>
      </c>
    </row>
    <row r="30" spans="1:11" x14ac:dyDescent="0.3">
      <c r="A30" s="134" t="s">
        <v>309</v>
      </c>
      <c r="B30" s="131">
        <v>1</v>
      </c>
      <c r="D30" s="136" t="s">
        <v>539</v>
      </c>
    </row>
    <row r="31" spans="1:11" x14ac:dyDescent="0.3">
      <c r="A31" s="134" t="s">
        <v>310</v>
      </c>
      <c r="B31" s="133">
        <v>358000</v>
      </c>
      <c r="C31" s="128" t="s">
        <v>447</v>
      </c>
      <c r="D31" s="136" t="s">
        <v>538</v>
      </c>
    </row>
    <row r="32" spans="1:11" x14ac:dyDescent="0.3">
      <c r="A32" s="134" t="s">
        <v>311</v>
      </c>
      <c r="B32" s="131">
        <v>1</v>
      </c>
      <c r="D32" s="136" t="s">
        <v>541</v>
      </c>
    </row>
    <row r="33" spans="1:11" x14ac:dyDescent="0.3">
      <c r="A33" s="134" t="s">
        <v>312</v>
      </c>
      <c r="B33" s="133">
        <v>258000</v>
      </c>
      <c r="C33" s="128" t="s">
        <v>447</v>
      </c>
      <c r="D33" s="136" t="s">
        <v>540</v>
      </c>
    </row>
    <row r="34" spans="1:11" x14ac:dyDescent="0.3">
      <c r="A34" s="134" t="s">
        <v>313</v>
      </c>
      <c r="B34" s="133">
        <v>152000</v>
      </c>
      <c r="C34" s="128" t="s">
        <v>447</v>
      </c>
      <c r="D34" s="136" t="s">
        <v>537</v>
      </c>
      <c r="K34" s="129"/>
    </row>
    <row r="35" spans="1:11" x14ac:dyDescent="0.3">
      <c r="A35" s="130" t="s">
        <v>425</v>
      </c>
      <c r="B35" s="131">
        <v>0</v>
      </c>
      <c r="C35" s="164" t="s">
        <v>69</v>
      </c>
      <c r="D35" s="136" t="s">
        <v>528</v>
      </c>
      <c r="E35" s="138"/>
      <c r="K35" s="129"/>
    </row>
    <row r="36" spans="1:11" x14ac:dyDescent="0.3">
      <c r="A36" s="130" t="s">
        <v>426</v>
      </c>
      <c r="B36" s="131">
        <v>0</v>
      </c>
      <c r="C36" s="164" t="s">
        <v>4</v>
      </c>
      <c r="D36" s="136" t="s">
        <v>529</v>
      </c>
      <c r="E36" s="138"/>
      <c r="K36" s="129"/>
    </row>
    <row r="37" spans="1:11" x14ac:dyDescent="0.3">
      <c r="A37" s="130" t="s">
        <v>427</v>
      </c>
      <c r="B37" s="131">
        <v>0</v>
      </c>
      <c r="C37" s="164" t="s">
        <v>69</v>
      </c>
      <c r="D37" s="136" t="s">
        <v>527</v>
      </c>
      <c r="E37" s="141"/>
      <c r="K37" s="129"/>
    </row>
    <row r="38" spans="1:11" x14ac:dyDescent="0.3">
      <c r="A38" s="130" t="s">
        <v>428</v>
      </c>
      <c r="B38" s="131">
        <v>0</v>
      </c>
      <c r="C38" s="164" t="s">
        <v>69</v>
      </c>
      <c r="D38" s="136" t="s">
        <v>531</v>
      </c>
    </row>
    <row r="39" spans="1:11" x14ac:dyDescent="0.3">
      <c r="A39" s="130" t="s">
        <v>429</v>
      </c>
      <c r="B39" s="131">
        <v>0</v>
      </c>
      <c r="C39" s="164" t="s">
        <v>4</v>
      </c>
      <c r="D39" s="136" t="s">
        <v>532</v>
      </c>
    </row>
    <row r="40" spans="1:11" x14ac:dyDescent="0.3">
      <c r="A40" s="130" t="s">
        <v>430</v>
      </c>
      <c r="B40" s="131">
        <v>0</v>
      </c>
      <c r="C40" s="164" t="s">
        <v>69</v>
      </c>
      <c r="D40" s="136" t="s">
        <v>530</v>
      </c>
    </row>
    <row r="41" spans="1:11" x14ac:dyDescent="0.3">
      <c r="A41" s="134" t="s">
        <v>314</v>
      </c>
      <c r="B41" s="131">
        <v>0</v>
      </c>
      <c r="D41" s="136" t="s">
        <v>544</v>
      </c>
    </row>
    <row r="42" spans="1:11" x14ac:dyDescent="0.3">
      <c r="A42" s="134" t="s">
        <v>315</v>
      </c>
      <c r="B42" s="133">
        <v>0</v>
      </c>
      <c r="C42" s="128" t="s">
        <v>447</v>
      </c>
      <c r="D42" s="136" t="s">
        <v>543</v>
      </c>
    </row>
    <row r="43" spans="1:11" x14ac:dyDescent="0.3">
      <c r="A43" s="134" t="s">
        <v>316</v>
      </c>
      <c r="B43" s="131">
        <v>0</v>
      </c>
      <c r="D43" s="136" t="s">
        <v>884</v>
      </c>
    </row>
    <row r="44" spans="1:11" x14ac:dyDescent="0.3">
      <c r="A44" s="134" t="s">
        <v>317</v>
      </c>
      <c r="B44" s="133">
        <v>0</v>
      </c>
      <c r="C44" s="128" t="s">
        <v>447</v>
      </c>
      <c r="D44" s="136" t="s">
        <v>545</v>
      </c>
    </row>
    <row r="45" spans="1:11" x14ac:dyDescent="0.3">
      <c r="A45" s="134" t="s">
        <v>318</v>
      </c>
      <c r="B45" s="131">
        <v>0</v>
      </c>
      <c r="D45" s="136" t="s">
        <v>547</v>
      </c>
    </row>
    <row r="46" spans="1:11" x14ac:dyDescent="0.3">
      <c r="A46" s="134" t="s">
        <v>319</v>
      </c>
      <c r="B46" s="133">
        <v>0</v>
      </c>
      <c r="C46" s="128" t="s">
        <v>447</v>
      </c>
      <c r="D46" s="136" t="s">
        <v>546</v>
      </c>
    </row>
    <row r="47" spans="1:11" x14ac:dyDescent="0.3">
      <c r="A47" s="134" t="s">
        <v>320</v>
      </c>
      <c r="B47" s="133">
        <v>0</v>
      </c>
      <c r="C47" s="128" t="s">
        <v>447</v>
      </c>
      <c r="D47" s="136" t="s">
        <v>542</v>
      </c>
    </row>
    <row r="48" spans="1:11" x14ac:dyDescent="0.3">
      <c r="A48" s="130" t="s">
        <v>431</v>
      </c>
      <c r="B48" s="131">
        <v>0</v>
      </c>
      <c r="C48" s="164" t="s">
        <v>69</v>
      </c>
      <c r="D48" s="136" t="s">
        <v>510</v>
      </c>
      <c r="K48" s="129"/>
    </row>
    <row r="49" spans="1:11" x14ac:dyDescent="0.3">
      <c r="A49" s="130" t="s">
        <v>432</v>
      </c>
      <c r="B49" s="131">
        <v>0</v>
      </c>
      <c r="C49" s="164" t="s">
        <v>4</v>
      </c>
      <c r="D49" s="136" t="s">
        <v>511</v>
      </c>
      <c r="K49" s="129"/>
    </row>
    <row r="50" spans="1:11" x14ac:dyDescent="0.3">
      <c r="A50" s="130" t="s">
        <v>433</v>
      </c>
      <c r="B50" s="131">
        <v>0</v>
      </c>
      <c r="C50" s="164" t="s">
        <v>69</v>
      </c>
      <c r="D50" s="136" t="s">
        <v>515</v>
      </c>
      <c r="K50" s="129"/>
    </row>
    <row r="51" spans="1:11" x14ac:dyDescent="0.3">
      <c r="A51" s="130" t="s">
        <v>434</v>
      </c>
      <c r="B51" s="131">
        <v>0</v>
      </c>
      <c r="C51" s="164" t="s">
        <v>4</v>
      </c>
      <c r="D51" s="136" t="s">
        <v>517</v>
      </c>
      <c r="K51" s="129"/>
    </row>
    <row r="52" spans="1:11" x14ac:dyDescent="0.3">
      <c r="A52" s="134" t="s">
        <v>321</v>
      </c>
      <c r="B52" s="131">
        <v>0</v>
      </c>
      <c r="C52" s="164" t="s">
        <v>69</v>
      </c>
      <c r="D52" s="136" t="s">
        <v>506</v>
      </c>
      <c r="J52" s="129"/>
      <c r="K52" s="129"/>
    </row>
    <row r="53" spans="1:11" x14ac:dyDescent="0.3">
      <c r="A53" s="134" t="s">
        <v>322</v>
      </c>
      <c r="B53" s="131">
        <v>16000</v>
      </c>
      <c r="C53" s="164" t="s">
        <v>69</v>
      </c>
      <c r="D53" s="136" t="s">
        <v>514</v>
      </c>
      <c r="K53" s="129"/>
    </row>
    <row r="54" spans="1:11" x14ac:dyDescent="0.3">
      <c r="A54" s="134" t="s">
        <v>323</v>
      </c>
      <c r="B54" s="131">
        <v>8000</v>
      </c>
      <c r="C54" s="164" t="s">
        <v>69</v>
      </c>
      <c r="D54" s="136" t="s">
        <v>512</v>
      </c>
      <c r="K54" s="129"/>
    </row>
    <row r="55" spans="1:11" x14ac:dyDescent="0.3">
      <c r="A55" s="130" t="s">
        <v>435</v>
      </c>
      <c r="B55" s="131">
        <v>0</v>
      </c>
      <c r="C55" s="164" t="s">
        <v>69</v>
      </c>
      <c r="D55" s="136" t="s">
        <v>516</v>
      </c>
      <c r="K55" s="129"/>
    </row>
    <row r="56" spans="1:11" x14ac:dyDescent="0.3">
      <c r="A56" s="134" t="s">
        <v>436</v>
      </c>
      <c r="B56" s="131">
        <v>0</v>
      </c>
      <c r="C56" s="164" t="s">
        <v>69</v>
      </c>
      <c r="D56" s="136" t="s">
        <v>507</v>
      </c>
      <c r="K56" s="129"/>
    </row>
    <row r="57" spans="1:11" x14ac:dyDescent="0.3">
      <c r="A57" s="139" t="s">
        <v>324</v>
      </c>
      <c r="B57" s="137">
        <v>0</v>
      </c>
      <c r="C57" s="166" t="s">
        <v>69</v>
      </c>
      <c r="D57" s="136" t="s">
        <v>513</v>
      </c>
    </row>
    <row r="58" spans="1:11" x14ac:dyDescent="0.3">
      <c r="A58" s="134" t="s">
        <v>325</v>
      </c>
      <c r="B58" s="131">
        <v>0</v>
      </c>
      <c r="C58" s="164" t="s">
        <v>69</v>
      </c>
      <c r="D58" s="136" t="s">
        <v>509</v>
      </c>
    </row>
    <row r="59" spans="1:11" x14ac:dyDescent="0.3">
      <c r="A59" s="134" t="s">
        <v>326</v>
      </c>
      <c r="B59" s="131">
        <v>0</v>
      </c>
      <c r="C59" s="164" t="s">
        <v>4</v>
      </c>
      <c r="D59" s="136" t="s">
        <v>508</v>
      </c>
    </row>
    <row r="60" spans="1:11" x14ac:dyDescent="0.3">
      <c r="A60" s="134" t="s">
        <v>327</v>
      </c>
      <c r="B60" s="131">
        <v>0</v>
      </c>
      <c r="C60" s="164" t="s">
        <v>69</v>
      </c>
      <c r="D60" s="136" t="s">
        <v>501</v>
      </c>
    </row>
    <row r="61" spans="1:11" x14ac:dyDescent="0.3">
      <c r="A61" s="134" t="s">
        <v>328</v>
      </c>
      <c r="B61" s="131">
        <v>0</v>
      </c>
      <c r="C61" s="164" t="s">
        <v>69</v>
      </c>
      <c r="D61" s="136" t="s">
        <v>500</v>
      </c>
    </row>
    <row r="62" spans="1:11" x14ac:dyDescent="0.3">
      <c r="A62" s="134" t="s">
        <v>329</v>
      </c>
      <c r="B62" s="131">
        <v>0</v>
      </c>
      <c r="C62" s="164" t="s">
        <v>4</v>
      </c>
      <c r="D62" s="136" t="s">
        <v>503</v>
      </c>
    </row>
    <row r="63" spans="1:11" x14ac:dyDescent="0.3">
      <c r="A63" s="134" t="s">
        <v>330</v>
      </c>
      <c r="B63" s="131">
        <v>0</v>
      </c>
      <c r="C63" s="164" t="s">
        <v>69</v>
      </c>
      <c r="D63" s="136" t="s">
        <v>502</v>
      </c>
    </row>
    <row r="64" spans="1:11" x14ac:dyDescent="0.3">
      <c r="A64" s="134" t="s">
        <v>331</v>
      </c>
      <c r="B64" s="131">
        <v>0</v>
      </c>
      <c r="C64" s="164" t="s">
        <v>69</v>
      </c>
      <c r="D64" s="136" t="s">
        <v>499</v>
      </c>
    </row>
    <row r="65" spans="1:4" x14ac:dyDescent="0.3">
      <c r="A65" s="134" t="s">
        <v>332</v>
      </c>
      <c r="B65" s="131">
        <v>1000</v>
      </c>
      <c r="C65" s="164" t="s">
        <v>69</v>
      </c>
      <c r="D65" s="136" t="s">
        <v>520</v>
      </c>
    </row>
    <row r="66" spans="1:4" x14ac:dyDescent="0.3">
      <c r="A66" s="134" t="s">
        <v>333</v>
      </c>
      <c r="B66" s="131">
        <v>3000</v>
      </c>
      <c r="C66" s="164" t="s">
        <v>69</v>
      </c>
      <c r="D66" s="136" t="s">
        <v>519</v>
      </c>
    </row>
    <row r="67" spans="1:4" x14ac:dyDescent="0.3">
      <c r="A67" s="134" t="s">
        <v>334</v>
      </c>
      <c r="B67" s="131">
        <v>2000</v>
      </c>
      <c r="C67" s="164" t="s">
        <v>4</v>
      </c>
      <c r="D67" s="136" t="s">
        <v>521</v>
      </c>
    </row>
    <row r="68" spans="1:4" x14ac:dyDescent="0.3">
      <c r="A68" s="134" t="s">
        <v>335</v>
      </c>
      <c r="B68" s="131">
        <v>4000</v>
      </c>
      <c r="C68" s="164" t="s">
        <v>69</v>
      </c>
      <c r="D68" s="136" t="s">
        <v>518</v>
      </c>
    </row>
    <row r="69" spans="1:4" x14ac:dyDescent="0.3">
      <c r="A69" s="130" t="s">
        <v>440</v>
      </c>
      <c r="B69" s="131">
        <v>0</v>
      </c>
      <c r="C69" s="164" t="s">
        <v>69</v>
      </c>
      <c r="D69" s="136" t="s">
        <v>568</v>
      </c>
    </row>
    <row r="70" spans="1:4" x14ac:dyDescent="0.3">
      <c r="A70" s="130" t="s">
        <v>441</v>
      </c>
      <c r="B70" s="131">
        <v>0</v>
      </c>
      <c r="C70" s="164" t="s">
        <v>69</v>
      </c>
      <c r="D70" s="136" t="s">
        <v>567</v>
      </c>
    </row>
    <row r="71" spans="1:4" x14ac:dyDescent="0.3">
      <c r="A71" s="130" t="s">
        <v>442</v>
      </c>
      <c r="B71" s="161">
        <v>0</v>
      </c>
      <c r="C71" s="165" t="s">
        <v>69</v>
      </c>
      <c r="D71" s="136" t="s">
        <v>566</v>
      </c>
    </row>
    <row r="72" spans="1:4" x14ac:dyDescent="0.3">
      <c r="A72" s="130" t="s">
        <v>443</v>
      </c>
      <c r="B72" s="161">
        <v>0</v>
      </c>
      <c r="C72" s="165" t="s">
        <v>69</v>
      </c>
      <c r="D72" s="136" t="s">
        <v>577</v>
      </c>
    </row>
    <row r="73" spans="1:4" x14ac:dyDescent="0.3">
      <c r="A73" s="130" t="s">
        <v>444</v>
      </c>
      <c r="B73" s="161">
        <v>0</v>
      </c>
      <c r="C73" s="165" t="s">
        <v>69</v>
      </c>
      <c r="D73" s="136" t="s">
        <v>576</v>
      </c>
    </row>
    <row r="74" spans="1:4" x14ac:dyDescent="0.3">
      <c r="A74" s="130" t="s">
        <v>445</v>
      </c>
      <c r="B74" s="161">
        <v>0</v>
      </c>
      <c r="C74" s="165" t="s">
        <v>69</v>
      </c>
      <c r="D74" s="136" t="s">
        <v>575</v>
      </c>
    </row>
    <row r="75" spans="1:4" x14ac:dyDescent="0.3">
      <c r="A75" s="134" t="s">
        <v>336</v>
      </c>
      <c r="B75" s="131">
        <v>1500</v>
      </c>
      <c r="C75" s="164" t="s">
        <v>69</v>
      </c>
      <c r="D75" s="136" t="s">
        <v>580</v>
      </c>
    </row>
    <row r="76" spans="1:4" x14ac:dyDescent="0.3">
      <c r="A76" s="134" t="s">
        <v>337</v>
      </c>
      <c r="B76" s="131">
        <v>4500</v>
      </c>
      <c r="C76" s="164" t="s">
        <v>69</v>
      </c>
      <c r="D76" s="136" t="s">
        <v>579</v>
      </c>
    </row>
    <row r="77" spans="1:4" x14ac:dyDescent="0.3">
      <c r="A77" s="134" t="s">
        <v>338</v>
      </c>
      <c r="B77" s="131">
        <v>2000</v>
      </c>
      <c r="C77" s="164" t="s">
        <v>4</v>
      </c>
      <c r="D77" s="136" t="s">
        <v>581</v>
      </c>
    </row>
    <row r="78" spans="1:4" x14ac:dyDescent="0.3">
      <c r="A78" s="134" t="s">
        <v>339</v>
      </c>
      <c r="B78" s="131">
        <v>10000</v>
      </c>
      <c r="C78" s="164" t="s">
        <v>69</v>
      </c>
      <c r="D78" s="136" t="s">
        <v>578</v>
      </c>
    </row>
    <row r="79" spans="1:4" x14ac:dyDescent="0.3">
      <c r="A79" s="134" t="s">
        <v>340</v>
      </c>
      <c r="B79" s="133">
        <v>2</v>
      </c>
      <c r="D79" s="136" t="s">
        <v>572</v>
      </c>
    </row>
    <row r="80" spans="1:4" x14ac:dyDescent="0.3">
      <c r="A80" s="134" t="s">
        <v>341</v>
      </c>
      <c r="B80" s="133">
        <v>429000</v>
      </c>
      <c r="C80" s="128" t="s">
        <v>447</v>
      </c>
      <c r="D80" s="136" t="s">
        <v>571</v>
      </c>
    </row>
    <row r="81" spans="1:4" x14ac:dyDescent="0.3">
      <c r="A81" s="134" t="s">
        <v>342</v>
      </c>
      <c r="B81" s="133">
        <v>1</v>
      </c>
      <c r="D81" s="136" t="s">
        <v>574</v>
      </c>
    </row>
    <row r="82" spans="1:4" x14ac:dyDescent="0.3">
      <c r="A82" s="134" t="s">
        <v>343</v>
      </c>
      <c r="B82" s="133">
        <v>186000</v>
      </c>
      <c r="C82" s="128" t="s">
        <v>447</v>
      </c>
      <c r="D82" s="136" t="s">
        <v>573</v>
      </c>
    </row>
    <row r="83" spans="1:4" x14ac:dyDescent="0.3">
      <c r="A83" s="134" t="s">
        <v>344</v>
      </c>
      <c r="B83" s="133">
        <v>268000</v>
      </c>
      <c r="C83" s="128" t="s">
        <v>447</v>
      </c>
      <c r="D83" s="136" t="s">
        <v>569</v>
      </c>
    </row>
    <row r="84" spans="1:4" x14ac:dyDescent="0.3">
      <c r="A84" s="134" t="s">
        <v>345</v>
      </c>
      <c r="B84" s="133">
        <v>188000</v>
      </c>
      <c r="C84" s="128" t="s">
        <v>447</v>
      </c>
      <c r="D84" s="136" t="s">
        <v>570</v>
      </c>
    </row>
    <row r="85" spans="1:4" x14ac:dyDescent="0.3">
      <c r="A85" s="130" t="s">
        <v>437</v>
      </c>
      <c r="B85" s="131">
        <v>0</v>
      </c>
      <c r="C85" s="164" t="s">
        <v>69</v>
      </c>
      <c r="D85" s="136" t="s">
        <v>595</v>
      </c>
    </row>
    <row r="86" spans="1:4" x14ac:dyDescent="0.3">
      <c r="A86" s="130" t="s">
        <v>438</v>
      </c>
      <c r="B86" s="131">
        <v>0</v>
      </c>
      <c r="C86" s="164" t="s">
        <v>69</v>
      </c>
      <c r="D86" s="136" t="s">
        <v>594</v>
      </c>
    </row>
    <row r="87" spans="1:4" x14ac:dyDescent="0.3">
      <c r="A87" s="130" t="s">
        <v>439</v>
      </c>
      <c r="B87" s="161">
        <v>0</v>
      </c>
      <c r="C87" s="165" t="s">
        <v>4</v>
      </c>
      <c r="D87" s="136" t="s">
        <v>593</v>
      </c>
    </row>
    <row r="88" spans="1:4" x14ac:dyDescent="0.3">
      <c r="A88" s="134" t="s">
        <v>850</v>
      </c>
      <c r="B88" s="133">
        <v>2</v>
      </c>
      <c r="D88" s="136" t="s">
        <v>843</v>
      </c>
    </row>
    <row r="89" spans="1:4" x14ac:dyDescent="0.3">
      <c r="A89" s="134" t="s">
        <v>851</v>
      </c>
      <c r="B89" s="133">
        <v>150000</v>
      </c>
      <c r="C89" s="128" t="s">
        <v>447</v>
      </c>
      <c r="D89" s="136" t="s">
        <v>844</v>
      </c>
    </row>
    <row r="90" spans="1:4" x14ac:dyDescent="0.3">
      <c r="A90" s="134" t="s">
        <v>852</v>
      </c>
      <c r="B90" s="133">
        <v>1</v>
      </c>
      <c r="D90" s="136" t="s">
        <v>845</v>
      </c>
    </row>
    <row r="91" spans="1:4" x14ac:dyDescent="0.3">
      <c r="A91" s="134" t="s">
        <v>853</v>
      </c>
      <c r="B91" s="133">
        <v>15000</v>
      </c>
      <c r="C91" s="128" t="s">
        <v>447</v>
      </c>
      <c r="D91" s="136" t="s">
        <v>846</v>
      </c>
    </row>
    <row r="92" spans="1:4" x14ac:dyDescent="0.3">
      <c r="A92" s="134" t="s">
        <v>854</v>
      </c>
      <c r="B92" s="133">
        <v>70000</v>
      </c>
      <c r="C92" s="128" t="s">
        <v>447</v>
      </c>
      <c r="D92" s="136" t="s">
        <v>847</v>
      </c>
    </row>
    <row r="93" spans="1:4" x14ac:dyDescent="0.3">
      <c r="A93" s="134" t="s">
        <v>855</v>
      </c>
      <c r="B93" s="133">
        <v>350000</v>
      </c>
      <c r="C93" s="128" t="s">
        <v>447</v>
      </c>
      <c r="D93" s="136" t="s">
        <v>848</v>
      </c>
    </row>
    <row r="94" spans="1:4" x14ac:dyDescent="0.3">
      <c r="A94" s="134" t="s">
        <v>856</v>
      </c>
      <c r="B94" s="133">
        <v>120000</v>
      </c>
      <c r="C94" s="128" t="s">
        <v>447</v>
      </c>
      <c r="D94" s="136" t="s">
        <v>849</v>
      </c>
    </row>
    <row r="95" spans="1:4" x14ac:dyDescent="0.3">
      <c r="A95" s="134" t="s">
        <v>346</v>
      </c>
      <c r="B95" s="131">
        <v>400</v>
      </c>
      <c r="C95" s="164" t="s">
        <v>69</v>
      </c>
      <c r="D95" s="136" t="s">
        <v>589</v>
      </c>
    </row>
    <row r="96" spans="1:4" x14ac:dyDescent="0.3">
      <c r="A96" s="134" t="s">
        <v>347</v>
      </c>
      <c r="B96" s="131">
        <v>700</v>
      </c>
      <c r="C96" s="164" t="s">
        <v>69</v>
      </c>
      <c r="D96" s="136" t="s">
        <v>588</v>
      </c>
    </row>
    <row r="97" spans="1:5" x14ac:dyDescent="0.3">
      <c r="A97" s="134" t="s">
        <v>348</v>
      </c>
      <c r="B97" s="131">
        <v>100</v>
      </c>
      <c r="C97" s="164" t="s">
        <v>4</v>
      </c>
      <c r="D97" s="136" t="s">
        <v>592</v>
      </c>
    </row>
    <row r="98" spans="1:5" x14ac:dyDescent="0.3">
      <c r="A98" s="134" t="s">
        <v>349</v>
      </c>
      <c r="B98" s="131">
        <v>1000</v>
      </c>
      <c r="C98" s="164" t="s">
        <v>69</v>
      </c>
      <c r="D98" s="136" t="s">
        <v>582</v>
      </c>
    </row>
    <row r="99" spans="1:5" x14ac:dyDescent="0.3">
      <c r="A99" s="134" t="s">
        <v>350</v>
      </c>
      <c r="B99" s="133">
        <v>2</v>
      </c>
      <c r="D99" s="136" t="s">
        <v>586</v>
      </c>
    </row>
    <row r="100" spans="1:5" x14ac:dyDescent="0.3">
      <c r="A100" s="134" t="s">
        <v>351</v>
      </c>
      <c r="B100" s="133">
        <v>173000</v>
      </c>
      <c r="C100" s="128" t="s">
        <v>447</v>
      </c>
      <c r="D100" s="136" t="s">
        <v>585</v>
      </c>
    </row>
    <row r="101" spans="1:5" x14ac:dyDescent="0.3">
      <c r="A101" s="134" t="s">
        <v>352</v>
      </c>
      <c r="B101" s="133">
        <v>1</v>
      </c>
      <c r="D101" s="136" t="s">
        <v>591</v>
      </c>
    </row>
    <row r="102" spans="1:5" x14ac:dyDescent="0.3">
      <c r="A102" s="134" t="s">
        <v>353</v>
      </c>
      <c r="B102" s="133">
        <v>20000</v>
      </c>
      <c r="C102" s="128" t="s">
        <v>447</v>
      </c>
      <c r="D102" s="136" t="s">
        <v>590</v>
      </c>
    </row>
    <row r="103" spans="1:5" x14ac:dyDescent="0.3">
      <c r="A103" s="134" t="s">
        <v>354</v>
      </c>
      <c r="B103" s="133">
        <v>95000</v>
      </c>
      <c r="C103" s="128" t="s">
        <v>447</v>
      </c>
      <c r="D103" s="136" t="s">
        <v>583</v>
      </c>
    </row>
    <row r="104" spans="1:5" x14ac:dyDescent="0.3">
      <c r="A104" s="134" t="s">
        <v>355</v>
      </c>
      <c r="B104" s="133">
        <v>401000</v>
      </c>
      <c r="C104" s="128" t="s">
        <v>447</v>
      </c>
      <c r="D104" s="136" t="s">
        <v>587</v>
      </c>
    </row>
    <row r="105" spans="1:5" x14ac:dyDescent="0.3">
      <c r="A105" s="134" t="s">
        <v>356</v>
      </c>
      <c r="B105" s="133">
        <v>170000</v>
      </c>
      <c r="C105" s="128" t="s">
        <v>447</v>
      </c>
      <c r="D105" s="136" t="s">
        <v>584</v>
      </c>
    </row>
    <row r="106" spans="1:5" x14ac:dyDescent="0.3">
      <c r="A106" s="134" t="s">
        <v>357</v>
      </c>
      <c r="B106" s="131">
        <v>0</v>
      </c>
      <c r="C106" s="164" t="s">
        <v>69</v>
      </c>
      <c r="D106" s="136" t="s">
        <v>599</v>
      </c>
    </row>
    <row r="107" spans="1:5" x14ac:dyDescent="0.3">
      <c r="A107" s="134" t="s">
        <v>358</v>
      </c>
      <c r="B107" s="131">
        <v>0</v>
      </c>
      <c r="C107" s="164" t="s">
        <v>69</v>
      </c>
      <c r="D107" s="136" t="s">
        <v>603</v>
      </c>
    </row>
    <row r="108" spans="1:5" x14ac:dyDescent="0.3">
      <c r="A108" s="134" t="s">
        <v>874</v>
      </c>
      <c r="B108" s="131">
        <v>0</v>
      </c>
      <c r="C108" s="164" t="s">
        <v>69</v>
      </c>
      <c r="D108" s="136" t="s">
        <v>875</v>
      </c>
      <c r="E108" s="129"/>
    </row>
    <row r="109" spans="1:5" x14ac:dyDescent="0.3">
      <c r="A109" s="134" t="s">
        <v>359</v>
      </c>
      <c r="B109" s="131">
        <v>0</v>
      </c>
      <c r="C109" s="164" t="s">
        <v>69</v>
      </c>
      <c r="D109" s="136" t="s">
        <v>597</v>
      </c>
    </row>
    <row r="110" spans="1:5" x14ac:dyDescent="0.3">
      <c r="A110" s="134" t="s">
        <v>360</v>
      </c>
      <c r="B110" s="131">
        <v>0</v>
      </c>
      <c r="C110" s="164" t="s">
        <v>69</v>
      </c>
      <c r="D110" s="136" t="s">
        <v>602</v>
      </c>
    </row>
    <row r="111" spans="1:5" x14ac:dyDescent="0.3">
      <c r="A111" s="134" t="s">
        <v>361</v>
      </c>
      <c r="B111" s="131">
        <v>10000</v>
      </c>
      <c r="C111" s="164" t="s">
        <v>4</v>
      </c>
      <c r="D111" s="136" t="s">
        <v>600</v>
      </c>
    </row>
    <row r="112" spans="1:5" x14ac:dyDescent="0.3">
      <c r="A112" s="134" t="s">
        <v>362</v>
      </c>
      <c r="B112" s="131">
        <v>550</v>
      </c>
      <c r="C112" s="164" t="s">
        <v>4</v>
      </c>
      <c r="D112" s="136" t="s">
        <v>604</v>
      </c>
    </row>
    <row r="113" spans="1:11" x14ac:dyDescent="0.3">
      <c r="A113" s="134" t="s">
        <v>363</v>
      </c>
      <c r="B113" s="131">
        <v>0</v>
      </c>
      <c r="C113" s="164" t="s">
        <v>69</v>
      </c>
      <c r="D113" s="136" t="s">
        <v>596</v>
      </c>
    </row>
    <row r="114" spans="1:11" x14ac:dyDescent="0.3">
      <c r="A114" s="134" t="s">
        <v>364</v>
      </c>
      <c r="B114" s="131">
        <v>0</v>
      </c>
      <c r="C114" s="164" t="s">
        <v>69</v>
      </c>
      <c r="D114" s="136" t="s">
        <v>601</v>
      </c>
    </row>
    <row r="115" spans="1:11" x14ac:dyDescent="0.3">
      <c r="A115" s="134" t="s">
        <v>365</v>
      </c>
      <c r="B115" s="131">
        <v>0</v>
      </c>
      <c r="C115" s="164" t="s">
        <v>69</v>
      </c>
      <c r="D115" s="136" t="s">
        <v>598</v>
      </c>
    </row>
    <row r="116" spans="1:11" x14ac:dyDescent="0.3">
      <c r="A116" s="134" t="s">
        <v>412</v>
      </c>
      <c r="B116" s="131">
        <v>0</v>
      </c>
      <c r="C116" s="164" t="s">
        <v>69</v>
      </c>
      <c r="D116" s="136" t="s">
        <v>607</v>
      </c>
    </row>
    <row r="117" spans="1:11" x14ac:dyDescent="0.3">
      <c r="A117" s="134" t="s">
        <v>413</v>
      </c>
      <c r="B117" s="131">
        <v>0</v>
      </c>
      <c r="C117" s="164" t="s">
        <v>69</v>
      </c>
      <c r="D117" s="136" t="s">
        <v>606</v>
      </c>
    </row>
    <row r="118" spans="1:11" x14ac:dyDescent="0.3">
      <c r="A118" s="134" t="s">
        <v>417</v>
      </c>
      <c r="B118" s="131">
        <v>4000</v>
      </c>
      <c r="C118" s="164" t="s">
        <v>69</v>
      </c>
      <c r="D118" s="136" t="s">
        <v>612</v>
      </c>
    </row>
    <row r="119" spans="1:11" x14ac:dyDescent="0.3">
      <c r="A119" s="134" t="s">
        <v>366</v>
      </c>
      <c r="B119" s="131">
        <v>1000</v>
      </c>
      <c r="C119" s="164" t="s">
        <v>4</v>
      </c>
      <c r="D119" s="136" t="s">
        <v>611</v>
      </c>
    </row>
    <row r="120" spans="1:11" x14ac:dyDescent="0.3">
      <c r="A120" s="134" t="s">
        <v>414</v>
      </c>
      <c r="B120" s="131">
        <v>0</v>
      </c>
      <c r="C120" s="164" t="s">
        <v>4</v>
      </c>
      <c r="D120" s="136" t="s">
        <v>608</v>
      </c>
    </row>
    <row r="121" spans="1:11" x14ac:dyDescent="0.3">
      <c r="A121" s="134" t="s">
        <v>367</v>
      </c>
      <c r="B121" s="131">
        <v>600</v>
      </c>
      <c r="C121" s="164" t="s">
        <v>69</v>
      </c>
      <c r="D121" s="136" t="s">
        <v>609</v>
      </c>
    </row>
    <row r="122" spans="1:11" x14ac:dyDescent="0.3">
      <c r="A122" s="134" t="s">
        <v>415</v>
      </c>
      <c r="B122" s="131">
        <v>0</v>
      </c>
      <c r="C122" s="164" t="s">
        <v>69</v>
      </c>
      <c r="D122" s="136" t="s">
        <v>605</v>
      </c>
    </row>
    <row r="123" spans="1:11" x14ac:dyDescent="0.3">
      <c r="A123" s="134" t="s">
        <v>368</v>
      </c>
      <c r="B123" s="131">
        <v>1600</v>
      </c>
      <c r="C123" s="164" t="s">
        <v>69</v>
      </c>
      <c r="D123" s="136" t="s">
        <v>610</v>
      </c>
    </row>
    <row r="124" spans="1:11" x14ac:dyDescent="0.3">
      <c r="A124" s="134" t="s">
        <v>369</v>
      </c>
      <c r="B124" s="131">
        <v>200</v>
      </c>
      <c r="C124" s="164" t="s">
        <v>69</v>
      </c>
      <c r="D124" s="136" t="s">
        <v>615</v>
      </c>
    </row>
    <row r="125" spans="1:11" x14ac:dyDescent="0.3">
      <c r="A125" s="134" t="s">
        <v>370</v>
      </c>
      <c r="B125" s="131">
        <v>400</v>
      </c>
      <c r="C125" s="164" t="s">
        <v>69</v>
      </c>
      <c r="D125" s="136" t="s">
        <v>614</v>
      </c>
    </row>
    <row r="126" spans="1:11" x14ac:dyDescent="0.3">
      <c r="A126" s="134" t="s">
        <v>418</v>
      </c>
      <c r="B126" s="131">
        <v>600</v>
      </c>
      <c r="C126" s="164" t="s">
        <v>69</v>
      </c>
      <c r="D126" s="136" t="s">
        <v>618</v>
      </c>
      <c r="K126" s="129"/>
    </row>
    <row r="127" spans="1:11" x14ac:dyDescent="0.3">
      <c r="A127" s="134" t="s">
        <v>371</v>
      </c>
      <c r="B127" s="131">
        <v>0</v>
      </c>
      <c r="C127" s="164" t="s">
        <v>4</v>
      </c>
      <c r="D127" s="136" t="s">
        <v>617</v>
      </c>
      <c r="K127" s="129"/>
    </row>
    <row r="128" spans="1:11" x14ac:dyDescent="0.3">
      <c r="A128" s="134" t="s">
        <v>372</v>
      </c>
      <c r="B128" s="131">
        <v>100</v>
      </c>
      <c r="C128" s="164" t="s">
        <v>69</v>
      </c>
      <c r="D128" s="136" t="s">
        <v>613</v>
      </c>
      <c r="K128" s="129"/>
    </row>
    <row r="129" spans="1:4" x14ac:dyDescent="0.3">
      <c r="A129" s="134" t="s">
        <v>504</v>
      </c>
      <c r="B129" s="133">
        <v>0</v>
      </c>
      <c r="C129" s="128" t="s">
        <v>75</v>
      </c>
      <c r="D129" s="136" t="s">
        <v>616</v>
      </c>
    </row>
    <row r="130" spans="1:4" x14ac:dyDescent="0.3">
      <c r="A130" s="134" t="s">
        <v>374</v>
      </c>
      <c r="B130" s="131">
        <v>400</v>
      </c>
      <c r="C130" s="164" t="s">
        <v>69</v>
      </c>
      <c r="D130" s="136" t="s">
        <v>621</v>
      </c>
    </row>
    <row r="131" spans="1:4" x14ac:dyDescent="0.3">
      <c r="A131" s="134" t="s">
        <v>375</v>
      </c>
      <c r="B131" s="131">
        <v>2000</v>
      </c>
      <c r="C131" s="164" t="s">
        <v>69</v>
      </c>
      <c r="D131" s="136" t="s">
        <v>620</v>
      </c>
    </row>
    <row r="132" spans="1:4" x14ac:dyDescent="0.3">
      <c r="A132" s="134" t="s">
        <v>419</v>
      </c>
      <c r="B132" s="131">
        <v>3000</v>
      </c>
      <c r="C132" s="164" t="s">
        <v>69</v>
      </c>
      <c r="D132" s="136" t="s">
        <v>626</v>
      </c>
    </row>
    <row r="133" spans="1:4" x14ac:dyDescent="0.3">
      <c r="A133" s="134" t="s">
        <v>376</v>
      </c>
      <c r="B133" s="131">
        <v>1000</v>
      </c>
      <c r="C133" s="164" t="s">
        <v>4</v>
      </c>
      <c r="D133" s="136" t="s">
        <v>625</v>
      </c>
    </row>
    <row r="134" spans="1:4" x14ac:dyDescent="0.3">
      <c r="A134" s="134" t="s">
        <v>377</v>
      </c>
      <c r="B134" s="131">
        <v>10000</v>
      </c>
      <c r="C134" s="164" t="s">
        <v>4</v>
      </c>
      <c r="D134" s="136" t="s">
        <v>623</v>
      </c>
    </row>
    <row r="135" spans="1:4" x14ac:dyDescent="0.3">
      <c r="A135" s="134" t="s">
        <v>378</v>
      </c>
      <c r="B135" s="131">
        <v>200</v>
      </c>
      <c r="C135" s="164" t="s">
        <v>69</v>
      </c>
      <c r="D135" s="136" t="s">
        <v>624</v>
      </c>
    </row>
    <row r="136" spans="1:4" x14ac:dyDescent="0.3">
      <c r="A136" s="134" t="s">
        <v>379</v>
      </c>
      <c r="B136" s="131">
        <v>300</v>
      </c>
      <c r="C136" s="164" t="s">
        <v>69</v>
      </c>
      <c r="D136" s="136" t="s">
        <v>619</v>
      </c>
    </row>
    <row r="137" spans="1:4" x14ac:dyDescent="0.3">
      <c r="A137" s="134" t="s">
        <v>373</v>
      </c>
      <c r="B137" s="131">
        <v>589</v>
      </c>
      <c r="C137" s="164" t="s">
        <v>75</v>
      </c>
      <c r="D137" s="136" t="s">
        <v>622</v>
      </c>
    </row>
    <row r="138" spans="1:4" x14ac:dyDescent="0.3">
      <c r="A138" s="134" t="s">
        <v>380</v>
      </c>
      <c r="B138" s="133">
        <v>2</v>
      </c>
      <c r="D138" s="136" t="s">
        <v>628</v>
      </c>
    </row>
    <row r="139" spans="1:4" x14ac:dyDescent="0.3">
      <c r="A139" s="134" t="s">
        <v>381</v>
      </c>
      <c r="B139" s="133">
        <v>1700000</v>
      </c>
      <c r="C139" s="128" t="s">
        <v>447</v>
      </c>
      <c r="D139" s="136" t="s">
        <v>627</v>
      </c>
    </row>
    <row r="140" spans="1:4" x14ac:dyDescent="0.3">
      <c r="A140" s="134" t="s">
        <v>382</v>
      </c>
      <c r="B140" s="133">
        <v>0</v>
      </c>
      <c r="D140" s="136" t="s">
        <v>630</v>
      </c>
    </row>
    <row r="141" spans="1:4" x14ac:dyDescent="0.3">
      <c r="A141" s="134" t="s">
        <v>383</v>
      </c>
      <c r="B141" s="133">
        <v>0</v>
      </c>
      <c r="C141" s="128" t="s">
        <v>447</v>
      </c>
      <c r="D141" s="136" t="s">
        <v>629</v>
      </c>
    </row>
    <row r="142" spans="1:4" x14ac:dyDescent="0.3">
      <c r="A142" s="134" t="s">
        <v>384</v>
      </c>
      <c r="B142" s="131">
        <v>200</v>
      </c>
      <c r="C142" s="164" t="s">
        <v>69</v>
      </c>
      <c r="D142" s="136" t="s">
        <v>633</v>
      </c>
    </row>
    <row r="143" spans="1:4" x14ac:dyDescent="0.3">
      <c r="A143" s="134" t="s">
        <v>385</v>
      </c>
      <c r="B143" s="131">
        <v>400</v>
      </c>
      <c r="C143" s="164" t="s">
        <v>69</v>
      </c>
      <c r="D143" s="136" t="s">
        <v>632</v>
      </c>
    </row>
    <row r="144" spans="1:4" x14ac:dyDescent="0.3">
      <c r="A144" s="134" t="s">
        <v>420</v>
      </c>
      <c r="B144" s="131">
        <v>0</v>
      </c>
      <c r="C144" s="164" t="s">
        <v>69</v>
      </c>
      <c r="D144" s="136" t="s">
        <v>635</v>
      </c>
    </row>
    <row r="145" spans="1:8" x14ac:dyDescent="0.3">
      <c r="A145" s="134" t="s">
        <v>386</v>
      </c>
      <c r="B145" s="131">
        <v>100</v>
      </c>
      <c r="C145" s="164" t="s">
        <v>4</v>
      </c>
      <c r="D145" s="136" t="s">
        <v>634</v>
      </c>
    </row>
    <row r="146" spans="1:8" x14ac:dyDescent="0.3">
      <c r="A146" s="134" t="s">
        <v>387</v>
      </c>
      <c r="B146" s="131">
        <v>0</v>
      </c>
      <c r="C146" s="164" t="s">
        <v>69</v>
      </c>
      <c r="D146" s="136" t="s">
        <v>636</v>
      </c>
    </row>
    <row r="147" spans="1:8" x14ac:dyDescent="0.3">
      <c r="A147" s="130" t="s">
        <v>446</v>
      </c>
      <c r="B147" s="161">
        <v>0</v>
      </c>
      <c r="C147" s="165" t="s">
        <v>4</v>
      </c>
      <c r="D147" s="136" t="s">
        <v>631</v>
      </c>
    </row>
    <row r="148" spans="1:8" x14ac:dyDescent="0.3">
      <c r="A148" s="134" t="s">
        <v>388</v>
      </c>
      <c r="B148" s="131">
        <v>0</v>
      </c>
      <c r="C148" s="164" t="s">
        <v>447</v>
      </c>
      <c r="D148" s="136" t="s">
        <v>638</v>
      </c>
    </row>
    <row r="149" spans="1:8" x14ac:dyDescent="0.3">
      <c r="A149" s="134" t="s">
        <v>389</v>
      </c>
      <c r="B149" s="131">
        <v>0</v>
      </c>
      <c r="C149" s="164" t="s">
        <v>447</v>
      </c>
      <c r="D149" s="136" t="s">
        <v>637</v>
      </c>
    </row>
    <row r="150" spans="1:8" x14ac:dyDescent="0.3">
      <c r="A150" s="134" t="s">
        <v>390</v>
      </c>
      <c r="B150" s="131">
        <v>2</v>
      </c>
      <c r="C150" s="164" t="s">
        <v>27</v>
      </c>
      <c r="D150" s="136" t="s">
        <v>886</v>
      </c>
    </row>
    <row r="151" spans="1:8" x14ac:dyDescent="0.3">
      <c r="A151" s="134" t="s">
        <v>391</v>
      </c>
      <c r="B151" s="131">
        <v>100</v>
      </c>
      <c r="C151" s="164" t="s">
        <v>279</v>
      </c>
      <c r="D151" s="136" t="s">
        <v>885</v>
      </c>
    </row>
    <row r="152" spans="1:8" x14ac:dyDescent="0.3">
      <c r="A152" s="134" t="s">
        <v>835</v>
      </c>
      <c r="B152" s="131">
        <v>0</v>
      </c>
      <c r="C152" s="164" t="s">
        <v>827</v>
      </c>
      <c r="D152" s="136" t="s">
        <v>828</v>
      </c>
    </row>
    <row r="153" spans="1:8" x14ac:dyDescent="0.3">
      <c r="A153" s="134" t="s">
        <v>836</v>
      </c>
      <c r="B153" s="131">
        <v>0</v>
      </c>
      <c r="C153" s="164" t="s">
        <v>827</v>
      </c>
      <c r="D153" s="136" t="s">
        <v>834</v>
      </c>
    </row>
    <row r="154" spans="1:8" x14ac:dyDescent="0.3">
      <c r="A154" s="134" t="s">
        <v>876</v>
      </c>
      <c r="B154" s="131">
        <v>0</v>
      </c>
      <c r="C154" s="160" t="s">
        <v>827</v>
      </c>
      <c r="D154" s="136" t="s">
        <v>879</v>
      </c>
    </row>
    <row r="155" spans="1:8" x14ac:dyDescent="0.3">
      <c r="A155" s="134" t="s">
        <v>837</v>
      </c>
      <c r="B155" s="131">
        <v>0</v>
      </c>
      <c r="C155" s="164" t="s">
        <v>827</v>
      </c>
      <c r="D155" s="136" t="s">
        <v>829</v>
      </c>
      <c r="H155" s="135"/>
    </row>
    <row r="156" spans="1:8" x14ac:dyDescent="0.3">
      <c r="A156" s="134" t="s">
        <v>838</v>
      </c>
      <c r="B156" s="131">
        <v>0</v>
      </c>
      <c r="C156" s="164" t="s">
        <v>27</v>
      </c>
      <c r="D156" s="136" t="s">
        <v>830</v>
      </c>
      <c r="H156" s="135"/>
    </row>
    <row r="157" spans="1:8" x14ac:dyDescent="0.3">
      <c r="A157" s="134" t="s">
        <v>839</v>
      </c>
      <c r="B157" s="131">
        <v>0</v>
      </c>
      <c r="C157" s="164" t="s">
        <v>27</v>
      </c>
      <c r="D157" s="136" t="s">
        <v>831</v>
      </c>
      <c r="H157" s="135"/>
    </row>
    <row r="158" spans="1:8" x14ac:dyDescent="0.3">
      <c r="A158" s="134" t="s">
        <v>840</v>
      </c>
      <c r="B158" s="131">
        <v>0</v>
      </c>
      <c r="C158" s="164" t="s">
        <v>279</v>
      </c>
      <c r="D158" s="136" t="s">
        <v>832</v>
      </c>
      <c r="H158" s="135"/>
    </row>
    <row r="159" spans="1:8" x14ac:dyDescent="0.3">
      <c r="A159" s="134" t="s">
        <v>841</v>
      </c>
      <c r="B159" s="131">
        <v>0</v>
      </c>
      <c r="C159" s="164" t="s">
        <v>27</v>
      </c>
      <c r="D159" s="136" t="s">
        <v>833</v>
      </c>
      <c r="H159" s="135"/>
    </row>
    <row r="160" spans="1:8" x14ac:dyDescent="0.3">
      <c r="A160" s="134" t="s">
        <v>900</v>
      </c>
      <c r="B160" s="131">
        <v>0</v>
      </c>
      <c r="C160" s="164"/>
      <c r="D160" s="136" t="s">
        <v>877</v>
      </c>
      <c r="H160" s="135"/>
    </row>
    <row r="161" spans="1:8" x14ac:dyDescent="0.3">
      <c r="A161" s="134" t="s">
        <v>901</v>
      </c>
      <c r="B161" s="131">
        <v>0</v>
      </c>
      <c r="C161" s="164"/>
      <c r="D161" s="136" t="s">
        <v>878</v>
      </c>
      <c r="H161" s="135"/>
    </row>
    <row r="162" spans="1:8" x14ac:dyDescent="0.3">
      <c r="H162" s="135"/>
    </row>
    <row r="163" spans="1:8" x14ac:dyDescent="0.3">
      <c r="A163" s="135"/>
      <c r="H163" s="135"/>
    </row>
    <row r="164" spans="1:8" x14ac:dyDescent="0.3">
      <c r="A164" s="135"/>
      <c r="H164" s="135"/>
    </row>
    <row r="165" spans="1:8" x14ac:dyDescent="0.3">
      <c r="A165" s="135"/>
      <c r="H165" s="135"/>
    </row>
    <row r="166" spans="1:8" x14ac:dyDescent="0.3">
      <c r="A166" s="135"/>
      <c r="H166" s="135"/>
    </row>
    <row r="167" spans="1:8" x14ac:dyDescent="0.3">
      <c r="A167" s="135"/>
      <c r="H167" s="135"/>
    </row>
    <row r="168" spans="1:8" x14ac:dyDescent="0.3">
      <c r="A168" s="135"/>
      <c r="H168" s="135"/>
    </row>
    <row r="169" spans="1:8" x14ac:dyDescent="0.3">
      <c r="A169" s="135"/>
      <c r="H169" s="135"/>
    </row>
    <row r="170" spans="1:8" x14ac:dyDescent="0.3">
      <c r="A170" s="135"/>
      <c r="H170" s="135"/>
    </row>
    <row r="171" spans="1:8" x14ac:dyDescent="0.3">
      <c r="A171" s="135"/>
      <c r="H171" s="135"/>
    </row>
    <row r="172" spans="1:8" x14ac:dyDescent="0.3">
      <c r="A172" s="135"/>
      <c r="H172" s="135"/>
    </row>
    <row r="173" spans="1:8" x14ac:dyDescent="0.3">
      <c r="A173" s="135"/>
      <c r="H173" s="135"/>
    </row>
    <row r="174" spans="1:8" x14ac:dyDescent="0.3">
      <c r="A174" s="135"/>
      <c r="H174" s="135"/>
    </row>
    <row r="175" spans="1:8" x14ac:dyDescent="0.3">
      <c r="A175" s="135"/>
      <c r="H175" s="135"/>
    </row>
    <row r="176" spans="1:8" x14ac:dyDescent="0.3">
      <c r="A176" s="135"/>
      <c r="H176" s="135"/>
    </row>
    <row r="177" spans="1:8" x14ac:dyDescent="0.3">
      <c r="A177" s="135"/>
      <c r="H177" s="135"/>
    </row>
    <row r="178" spans="1:8" x14ac:dyDescent="0.3">
      <c r="A178" s="135"/>
      <c r="H178" s="135"/>
    </row>
    <row r="179" spans="1:8" x14ac:dyDescent="0.3">
      <c r="A179" s="135"/>
      <c r="H179" s="135"/>
    </row>
    <row r="180" spans="1:8" x14ac:dyDescent="0.3">
      <c r="A180" s="135"/>
      <c r="H180" s="135"/>
    </row>
    <row r="181" spans="1:8" x14ac:dyDescent="0.3">
      <c r="A181" s="135"/>
      <c r="H181" s="135"/>
    </row>
    <row r="182" spans="1:8" x14ac:dyDescent="0.3">
      <c r="A182" s="135"/>
      <c r="H182" s="135"/>
    </row>
    <row r="183" spans="1:8" x14ac:dyDescent="0.3">
      <c r="A183" s="135"/>
      <c r="H183" s="135"/>
    </row>
    <row r="184" spans="1:8" x14ac:dyDescent="0.3">
      <c r="A184" s="135"/>
      <c r="H184" s="135"/>
    </row>
    <row r="185" spans="1:8" x14ac:dyDescent="0.3">
      <c r="A185" s="135"/>
    </row>
    <row r="186" spans="1:8" x14ac:dyDescent="0.3">
      <c r="A186" s="135"/>
    </row>
    <row r="187" spans="1:8" x14ac:dyDescent="0.3">
      <c r="A187" s="135"/>
    </row>
    <row r="188" spans="1:8" x14ac:dyDescent="0.3">
      <c r="A188" s="135"/>
    </row>
    <row r="189" spans="1:8" x14ac:dyDescent="0.3">
      <c r="A189" s="135"/>
    </row>
    <row r="190" spans="1:8" x14ac:dyDescent="0.3">
      <c r="A190" s="135"/>
    </row>
    <row r="191" spans="1:8" x14ac:dyDescent="0.3">
      <c r="A191" s="135"/>
    </row>
    <row r="192" spans="1:8" x14ac:dyDescent="0.3">
      <c r="A192" s="135"/>
    </row>
    <row r="193" spans="1:1" x14ac:dyDescent="0.3">
      <c r="A193" s="135"/>
    </row>
    <row r="194" spans="1:1" x14ac:dyDescent="0.3">
      <c r="A194" s="135"/>
    </row>
    <row r="195" spans="1:1" x14ac:dyDescent="0.3">
      <c r="A195" s="135"/>
    </row>
    <row r="196" spans="1:1" x14ac:dyDescent="0.3">
      <c r="A196" s="135"/>
    </row>
    <row r="197" spans="1:1" x14ac:dyDescent="0.3">
      <c r="A197" s="135"/>
    </row>
    <row r="198" spans="1:1" x14ac:dyDescent="0.3">
      <c r="A198" s="135"/>
    </row>
    <row r="199" spans="1:1" x14ac:dyDescent="0.3">
      <c r="A199" s="135"/>
    </row>
    <row r="200" spans="1:1" x14ac:dyDescent="0.3">
      <c r="A200" s="135"/>
    </row>
    <row r="201" spans="1:1" x14ac:dyDescent="0.3">
      <c r="A201" s="135"/>
    </row>
    <row r="202" spans="1:1" x14ac:dyDescent="0.3">
      <c r="A202" s="135"/>
    </row>
    <row r="203" spans="1:1" x14ac:dyDescent="0.3">
      <c r="A203" s="135"/>
    </row>
    <row r="204" spans="1:1" x14ac:dyDescent="0.3">
      <c r="A204" s="135"/>
    </row>
    <row r="205" spans="1:1" x14ac:dyDescent="0.3">
      <c r="A205" s="135"/>
    </row>
    <row r="206" spans="1:1" x14ac:dyDescent="0.3">
      <c r="A206" s="135"/>
    </row>
    <row r="207" spans="1:1" x14ac:dyDescent="0.3">
      <c r="A207" s="135"/>
    </row>
    <row r="208" spans="1:1" x14ac:dyDescent="0.3">
      <c r="A208" s="135"/>
    </row>
    <row r="209" spans="1:1" x14ac:dyDescent="0.3">
      <c r="A209" s="135"/>
    </row>
    <row r="210" spans="1:1" x14ac:dyDescent="0.3">
      <c r="A210" s="135"/>
    </row>
    <row r="211" spans="1:1" x14ac:dyDescent="0.3">
      <c r="A211" s="135"/>
    </row>
    <row r="212" spans="1:1" x14ac:dyDescent="0.3">
      <c r="A212" s="135"/>
    </row>
    <row r="213" spans="1:1" x14ac:dyDescent="0.3">
      <c r="A213" s="135"/>
    </row>
    <row r="214" spans="1:1" x14ac:dyDescent="0.3">
      <c r="A214" s="135"/>
    </row>
    <row r="215" spans="1:1" x14ac:dyDescent="0.3">
      <c r="A215" s="135"/>
    </row>
    <row r="216" spans="1:1" x14ac:dyDescent="0.3">
      <c r="A216" s="135"/>
    </row>
    <row r="217" spans="1:1" x14ac:dyDescent="0.3">
      <c r="A217" s="135"/>
    </row>
    <row r="218" spans="1:1" x14ac:dyDescent="0.3">
      <c r="A218" s="135"/>
    </row>
    <row r="219" spans="1:1" x14ac:dyDescent="0.3">
      <c r="A219" s="135"/>
    </row>
    <row r="220" spans="1:1" x14ac:dyDescent="0.3">
      <c r="A220" s="135"/>
    </row>
    <row r="221" spans="1:1" x14ac:dyDescent="0.3">
      <c r="A221" s="135"/>
    </row>
    <row r="222" spans="1:1" x14ac:dyDescent="0.3">
      <c r="A222" s="135"/>
    </row>
    <row r="223" spans="1:1" x14ac:dyDescent="0.3">
      <c r="A223" s="135"/>
    </row>
    <row r="224" spans="1:1" x14ac:dyDescent="0.3">
      <c r="A224" s="135"/>
    </row>
    <row r="225" spans="1:1" x14ac:dyDescent="0.3">
      <c r="A225" s="135"/>
    </row>
    <row r="226" spans="1:1" x14ac:dyDescent="0.3">
      <c r="A226" s="135"/>
    </row>
    <row r="227" spans="1:1" x14ac:dyDescent="0.3">
      <c r="A227" s="135"/>
    </row>
    <row r="228" spans="1:1" x14ac:dyDescent="0.3">
      <c r="A228" s="135"/>
    </row>
    <row r="229" spans="1:1" x14ac:dyDescent="0.3">
      <c r="A229" s="135"/>
    </row>
    <row r="230" spans="1:1" x14ac:dyDescent="0.3">
      <c r="A230" s="135"/>
    </row>
    <row r="231" spans="1:1" x14ac:dyDescent="0.3">
      <c r="A231" s="135"/>
    </row>
    <row r="232" spans="1:1" x14ac:dyDescent="0.3">
      <c r="A232" s="135"/>
    </row>
    <row r="233" spans="1:1" x14ac:dyDescent="0.3">
      <c r="A233" s="135"/>
    </row>
    <row r="234" spans="1:1" x14ac:dyDescent="0.3">
      <c r="A234" s="135"/>
    </row>
    <row r="235" spans="1:1" x14ac:dyDescent="0.3">
      <c r="A235" s="135"/>
    </row>
    <row r="236" spans="1:1" x14ac:dyDescent="0.3">
      <c r="A236" s="135"/>
    </row>
    <row r="237" spans="1:1" x14ac:dyDescent="0.3">
      <c r="A237" s="135"/>
    </row>
    <row r="238" spans="1:1" x14ac:dyDescent="0.3">
      <c r="A238" s="135"/>
    </row>
    <row r="239" spans="1:1" x14ac:dyDescent="0.3">
      <c r="A239" s="135"/>
    </row>
    <row r="240" spans="1:1" x14ac:dyDescent="0.3">
      <c r="A240" s="135"/>
    </row>
    <row r="241" spans="1:1" x14ac:dyDescent="0.3">
      <c r="A241" s="135"/>
    </row>
    <row r="242" spans="1:1" x14ac:dyDescent="0.3">
      <c r="A242" s="135"/>
    </row>
    <row r="243" spans="1:1" x14ac:dyDescent="0.3">
      <c r="A243" s="135"/>
    </row>
    <row r="244" spans="1:1" x14ac:dyDescent="0.3">
      <c r="A244" s="135"/>
    </row>
    <row r="245" spans="1:1" x14ac:dyDescent="0.3">
      <c r="A245" s="135"/>
    </row>
    <row r="246" spans="1:1" x14ac:dyDescent="0.3">
      <c r="A246" s="135"/>
    </row>
    <row r="247" spans="1:1" x14ac:dyDescent="0.3">
      <c r="A247" s="135"/>
    </row>
    <row r="248" spans="1:1" x14ac:dyDescent="0.3">
      <c r="A248" s="135"/>
    </row>
    <row r="249" spans="1:1" x14ac:dyDescent="0.3">
      <c r="A249" s="135"/>
    </row>
    <row r="250" spans="1:1" x14ac:dyDescent="0.3">
      <c r="A250" s="135"/>
    </row>
    <row r="251" spans="1:1" x14ac:dyDescent="0.3">
      <c r="A251" s="135"/>
    </row>
    <row r="252" spans="1:1" x14ac:dyDescent="0.3">
      <c r="A252" s="135"/>
    </row>
    <row r="253" spans="1:1" x14ac:dyDescent="0.3">
      <c r="A253" s="135"/>
    </row>
    <row r="254" spans="1:1" x14ac:dyDescent="0.3">
      <c r="A254" s="135"/>
    </row>
    <row r="255" spans="1:1" x14ac:dyDescent="0.3">
      <c r="A255" s="135"/>
    </row>
    <row r="256" spans="1:1" x14ac:dyDescent="0.3">
      <c r="A256" s="135"/>
    </row>
    <row r="257" spans="1:1" x14ac:dyDescent="0.3">
      <c r="A257" s="135"/>
    </row>
    <row r="258" spans="1:1" x14ac:dyDescent="0.3">
      <c r="A258" s="135"/>
    </row>
    <row r="259" spans="1:1" x14ac:dyDescent="0.3">
      <c r="A259" s="135"/>
    </row>
    <row r="260" spans="1:1" x14ac:dyDescent="0.3">
      <c r="A260" s="135"/>
    </row>
    <row r="261" spans="1:1" x14ac:dyDescent="0.3">
      <c r="A261" s="135"/>
    </row>
    <row r="262" spans="1:1" x14ac:dyDescent="0.3">
      <c r="A262" s="135"/>
    </row>
    <row r="263" spans="1:1" x14ac:dyDescent="0.3">
      <c r="A263" s="135"/>
    </row>
    <row r="264" spans="1:1" x14ac:dyDescent="0.3">
      <c r="A264" s="135"/>
    </row>
    <row r="265" spans="1:1" x14ac:dyDescent="0.3">
      <c r="A265" s="135"/>
    </row>
    <row r="266" spans="1:1" x14ac:dyDescent="0.3">
      <c r="A266" s="135"/>
    </row>
    <row r="267" spans="1:1" x14ac:dyDescent="0.3">
      <c r="A267" s="135"/>
    </row>
    <row r="268" spans="1:1" x14ac:dyDescent="0.3">
      <c r="A268" s="135"/>
    </row>
    <row r="269" spans="1:1" x14ac:dyDescent="0.3">
      <c r="A269" s="135"/>
    </row>
    <row r="270" spans="1:1" x14ac:dyDescent="0.3">
      <c r="A270" s="135"/>
    </row>
    <row r="271" spans="1:1" x14ac:dyDescent="0.3">
      <c r="A271" s="135"/>
    </row>
    <row r="272" spans="1:1" x14ac:dyDescent="0.3">
      <c r="A272" s="135"/>
    </row>
    <row r="273" spans="1:1" x14ac:dyDescent="0.3">
      <c r="A273" s="135"/>
    </row>
    <row r="274" spans="1:1" x14ac:dyDescent="0.3">
      <c r="A274" s="135"/>
    </row>
    <row r="275" spans="1:1" x14ac:dyDescent="0.3">
      <c r="A275" s="135"/>
    </row>
    <row r="276" spans="1:1" x14ac:dyDescent="0.3">
      <c r="A276" s="135"/>
    </row>
    <row r="277" spans="1:1" x14ac:dyDescent="0.3">
      <c r="A277" s="135"/>
    </row>
    <row r="278" spans="1:1" x14ac:dyDescent="0.3">
      <c r="A278" s="135"/>
    </row>
    <row r="279" spans="1:1" x14ac:dyDescent="0.3">
      <c r="A279" s="135"/>
    </row>
    <row r="280" spans="1:1" x14ac:dyDescent="0.3">
      <c r="A280" s="135"/>
    </row>
    <row r="281" spans="1:1" x14ac:dyDescent="0.3">
      <c r="A281" s="135"/>
    </row>
    <row r="282" spans="1:1" x14ac:dyDescent="0.3">
      <c r="A282" s="135"/>
    </row>
    <row r="283" spans="1:1" x14ac:dyDescent="0.3">
      <c r="A283" s="135"/>
    </row>
    <row r="284" spans="1:1" x14ac:dyDescent="0.3">
      <c r="A284" s="135"/>
    </row>
    <row r="285" spans="1:1" x14ac:dyDescent="0.3">
      <c r="A285" s="135"/>
    </row>
    <row r="286" spans="1:1" x14ac:dyDescent="0.3">
      <c r="A286" s="135"/>
    </row>
    <row r="287" spans="1:1" x14ac:dyDescent="0.3">
      <c r="A287" s="135"/>
    </row>
    <row r="288" spans="1:1" x14ac:dyDescent="0.3">
      <c r="A288" s="135"/>
    </row>
    <row r="289" spans="1:1" x14ac:dyDescent="0.3">
      <c r="A289" s="135"/>
    </row>
    <row r="290" spans="1:1" x14ac:dyDescent="0.3">
      <c r="A290" s="135"/>
    </row>
    <row r="291" spans="1:1" x14ac:dyDescent="0.3">
      <c r="A291" s="135"/>
    </row>
    <row r="292" spans="1:1" x14ac:dyDescent="0.3">
      <c r="A292" s="135"/>
    </row>
    <row r="293" spans="1:1" x14ac:dyDescent="0.3">
      <c r="A293" s="135"/>
    </row>
    <row r="294" spans="1:1" x14ac:dyDescent="0.3">
      <c r="A294" s="135"/>
    </row>
    <row r="295" spans="1:1" x14ac:dyDescent="0.3">
      <c r="A295" s="135"/>
    </row>
    <row r="296" spans="1:1" x14ac:dyDescent="0.3">
      <c r="A296" s="135"/>
    </row>
    <row r="297" spans="1:1" x14ac:dyDescent="0.3">
      <c r="A297" s="135"/>
    </row>
    <row r="298" spans="1:1" x14ac:dyDescent="0.3">
      <c r="A298" s="135"/>
    </row>
    <row r="299" spans="1:1" x14ac:dyDescent="0.3">
      <c r="A299" s="135"/>
    </row>
    <row r="300" spans="1:1" x14ac:dyDescent="0.3">
      <c r="A300" s="135"/>
    </row>
    <row r="301" spans="1:1" x14ac:dyDescent="0.3">
      <c r="A301" s="135"/>
    </row>
    <row r="302" spans="1:1" x14ac:dyDescent="0.3">
      <c r="A302" s="135"/>
    </row>
    <row r="303" spans="1:1" x14ac:dyDescent="0.3">
      <c r="A303" s="135"/>
    </row>
    <row r="304" spans="1:1" x14ac:dyDescent="0.3">
      <c r="A304" s="135"/>
    </row>
    <row r="305" spans="1:1" x14ac:dyDescent="0.3">
      <c r="A305" s="135"/>
    </row>
    <row r="306" spans="1:1" x14ac:dyDescent="0.3">
      <c r="A306" s="135"/>
    </row>
    <row r="307" spans="1:1" x14ac:dyDescent="0.3">
      <c r="A307" s="135"/>
    </row>
    <row r="308" spans="1:1" x14ac:dyDescent="0.3">
      <c r="A308" s="135"/>
    </row>
    <row r="309" spans="1:1" x14ac:dyDescent="0.3">
      <c r="A309" s="135"/>
    </row>
    <row r="310" spans="1:1" x14ac:dyDescent="0.3">
      <c r="A310" s="135"/>
    </row>
    <row r="311" spans="1:1" x14ac:dyDescent="0.3">
      <c r="A311" s="135"/>
    </row>
    <row r="312" spans="1:1" x14ac:dyDescent="0.3">
      <c r="A312" s="135"/>
    </row>
    <row r="313" spans="1:1" x14ac:dyDescent="0.3">
      <c r="A313" s="135"/>
    </row>
    <row r="314" spans="1:1" x14ac:dyDescent="0.3">
      <c r="A314" s="135"/>
    </row>
    <row r="315" spans="1:1" x14ac:dyDescent="0.3">
      <c r="A315" s="135"/>
    </row>
    <row r="316" spans="1:1" x14ac:dyDescent="0.3">
      <c r="A316" s="135"/>
    </row>
    <row r="317" spans="1:1" x14ac:dyDescent="0.3">
      <c r="A317" s="135"/>
    </row>
    <row r="318" spans="1:1" x14ac:dyDescent="0.3">
      <c r="A318" s="135"/>
    </row>
    <row r="319" spans="1:1" x14ac:dyDescent="0.3">
      <c r="A319" s="135"/>
    </row>
    <row r="320" spans="1:1" x14ac:dyDescent="0.3">
      <c r="A320" s="135"/>
    </row>
    <row r="321" spans="1:1" x14ac:dyDescent="0.3">
      <c r="A321" s="135"/>
    </row>
    <row r="322" spans="1:1" x14ac:dyDescent="0.3">
      <c r="A322" s="135"/>
    </row>
    <row r="323" spans="1:1" x14ac:dyDescent="0.3">
      <c r="A323" s="135"/>
    </row>
    <row r="324" spans="1:1" x14ac:dyDescent="0.3">
      <c r="A324" s="135"/>
    </row>
    <row r="325" spans="1:1" x14ac:dyDescent="0.3">
      <c r="A325" s="135"/>
    </row>
    <row r="326" spans="1:1" x14ac:dyDescent="0.3">
      <c r="A326" s="135"/>
    </row>
    <row r="327" spans="1:1" x14ac:dyDescent="0.3">
      <c r="A327" s="135"/>
    </row>
    <row r="328" spans="1:1" x14ac:dyDescent="0.3">
      <c r="A328" s="135"/>
    </row>
    <row r="329" spans="1:1" x14ac:dyDescent="0.3">
      <c r="A329" s="135"/>
    </row>
    <row r="330" spans="1:1" x14ac:dyDescent="0.3">
      <c r="A330" s="135"/>
    </row>
    <row r="331" spans="1:1" x14ac:dyDescent="0.3">
      <c r="A331" s="135"/>
    </row>
    <row r="332" spans="1:1" x14ac:dyDescent="0.3">
      <c r="A332" s="135"/>
    </row>
    <row r="333" spans="1:1" x14ac:dyDescent="0.3">
      <c r="A333" s="135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8"/>
  <sheetViews>
    <sheetView topLeftCell="D1" workbookViewId="0">
      <selection activeCell="G17" sqref="G17"/>
    </sheetView>
  </sheetViews>
  <sheetFormatPr defaultRowHeight="13.2" x14ac:dyDescent="0.25"/>
  <cols>
    <col min="1" max="1" width="3.6640625" customWidth="1"/>
    <col min="2" max="2" width="46.88671875" bestFit="1" customWidth="1"/>
    <col min="3" max="3" width="4.6640625" bestFit="1" customWidth="1"/>
    <col min="4" max="4" width="12.6640625" bestFit="1" customWidth="1"/>
    <col min="6" max="6" width="3.88671875" customWidth="1"/>
    <col min="7" max="7" width="49.6640625" bestFit="1" customWidth="1"/>
    <col min="8" max="8" width="12.109375" customWidth="1"/>
    <col min="9" max="9" width="11.33203125" bestFit="1" customWidth="1"/>
  </cols>
  <sheetData>
    <row r="1" spans="1:11" x14ac:dyDescent="0.25">
      <c r="A1" s="63" t="s">
        <v>449</v>
      </c>
      <c r="B1" s="5"/>
      <c r="C1" s="4"/>
      <c r="D1" s="5"/>
    </row>
    <row r="2" spans="1:11" x14ac:dyDescent="0.25">
      <c r="A2" s="5"/>
      <c r="B2" s="5"/>
      <c r="C2" s="4"/>
      <c r="D2" s="5"/>
    </row>
    <row r="3" spans="1:11" x14ac:dyDescent="0.25">
      <c r="A3" s="63"/>
      <c r="B3" s="174" t="s">
        <v>452</v>
      </c>
      <c r="C3" s="174" t="s">
        <v>451</v>
      </c>
      <c r="D3" s="173" t="s">
        <v>450</v>
      </c>
      <c r="G3" s="174" t="s">
        <v>452</v>
      </c>
      <c r="H3" s="174" t="s">
        <v>451</v>
      </c>
      <c r="I3" s="173" t="s">
        <v>450</v>
      </c>
    </row>
    <row r="4" spans="1:11" x14ac:dyDescent="0.25">
      <c r="A4" s="63"/>
      <c r="B4" s="175"/>
      <c r="C4" s="175"/>
      <c r="D4" s="173"/>
      <c r="G4" s="175"/>
      <c r="H4" s="175"/>
      <c r="I4" s="173"/>
    </row>
    <row r="5" spans="1:11" x14ac:dyDescent="0.25">
      <c r="A5" s="5"/>
      <c r="B5" s="64" t="s">
        <v>909</v>
      </c>
      <c r="C5" s="65" t="s">
        <v>69</v>
      </c>
      <c r="D5" s="159">
        <v>5.9476309226932669</v>
      </c>
      <c r="G5" s="64" t="s">
        <v>933</v>
      </c>
      <c r="H5" s="65" t="s">
        <v>906</v>
      </c>
      <c r="I5" s="159">
        <v>148047</v>
      </c>
      <c r="K5" s="193"/>
    </row>
    <row r="6" spans="1:11" x14ac:dyDescent="0.25">
      <c r="A6" s="5"/>
      <c r="B6" s="64" t="s">
        <v>910</v>
      </c>
      <c r="C6" s="65" t="s">
        <v>69</v>
      </c>
      <c r="D6" s="159">
        <v>27.04214463840399</v>
      </c>
      <c r="G6" s="64" t="s">
        <v>934</v>
      </c>
      <c r="H6" s="65" t="s">
        <v>906</v>
      </c>
      <c r="I6" s="159">
        <v>500000</v>
      </c>
      <c r="K6" s="193"/>
    </row>
    <row r="7" spans="1:11" x14ac:dyDescent="0.25">
      <c r="A7" s="5"/>
      <c r="B7" s="64" t="s">
        <v>911</v>
      </c>
      <c r="C7" s="65" t="s">
        <v>69</v>
      </c>
      <c r="D7" s="159">
        <v>153.84089775561097</v>
      </c>
      <c r="H7" s="65"/>
      <c r="I7" s="159"/>
      <c r="K7" s="194"/>
    </row>
    <row r="8" spans="1:11" x14ac:dyDescent="0.25">
      <c r="A8" s="5"/>
      <c r="B8" s="64" t="s">
        <v>912</v>
      </c>
      <c r="C8" s="65" t="s">
        <v>69</v>
      </c>
      <c r="D8" s="159">
        <v>10.327630922693267</v>
      </c>
      <c r="G8" s="64" t="s">
        <v>935</v>
      </c>
      <c r="H8" s="65" t="s">
        <v>27</v>
      </c>
      <c r="I8" s="159">
        <v>1400000</v>
      </c>
      <c r="K8" s="193"/>
    </row>
    <row r="9" spans="1:11" x14ac:dyDescent="0.25">
      <c r="A9" s="5"/>
      <c r="B9" s="64" t="s">
        <v>913</v>
      </c>
      <c r="C9" s="65" t="s">
        <v>69</v>
      </c>
      <c r="D9" s="159">
        <v>34.911920199501246</v>
      </c>
      <c r="G9" s="64" t="s">
        <v>936</v>
      </c>
      <c r="H9" s="65" t="s">
        <v>27</v>
      </c>
      <c r="I9" s="159">
        <v>2800000</v>
      </c>
      <c r="K9" s="193"/>
    </row>
    <row r="10" spans="1:11" x14ac:dyDescent="0.25">
      <c r="A10" s="5"/>
      <c r="B10" s="64" t="s">
        <v>914</v>
      </c>
      <c r="C10" s="65" t="s">
        <v>4</v>
      </c>
      <c r="D10" s="159">
        <v>5.88428927680798</v>
      </c>
      <c r="G10" s="64" t="s">
        <v>937</v>
      </c>
      <c r="H10" s="65" t="s">
        <v>279</v>
      </c>
      <c r="I10" s="159">
        <v>35000</v>
      </c>
      <c r="K10" s="193"/>
    </row>
    <row r="11" spans="1:11" x14ac:dyDescent="0.25">
      <c r="A11" s="5"/>
      <c r="B11" s="64" t="s">
        <v>915</v>
      </c>
      <c r="C11" s="65" t="s">
        <v>4</v>
      </c>
      <c r="D11" s="159">
        <v>44.644887780548629</v>
      </c>
      <c r="G11" s="64" t="s">
        <v>938</v>
      </c>
      <c r="H11" s="65" t="s">
        <v>27</v>
      </c>
      <c r="I11" s="159">
        <v>100000</v>
      </c>
      <c r="K11" s="193"/>
    </row>
    <row r="12" spans="1:11" x14ac:dyDescent="0.25">
      <c r="A12" s="5"/>
      <c r="B12" s="64" t="s">
        <v>916</v>
      </c>
      <c r="C12" s="65" t="s">
        <v>69</v>
      </c>
      <c r="D12" s="159">
        <v>5.1650479065494164</v>
      </c>
      <c r="G12" s="64" t="s">
        <v>939</v>
      </c>
      <c r="H12" s="65" t="s">
        <v>907</v>
      </c>
      <c r="I12" s="159">
        <v>10000</v>
      </c>
      <c r="K12" s="193"/>
    </row>
    <row r="13" spans="1:11" x14ac:dyDescent="0.25">
      <c r="A13" s="5"/>
      <c r="B13" s="64" t="s">
        <v>917</v>
      </c>
      <c r="C13" s="65" t="s">
        <v>69</v>
      </c>
      <c r="D13" s="159">
        <v>9.7299502173933181</v>
      </c>
      <c r="G13" s="64" t="s">
        <v>940</v>
      </c>
      <c r="H13" s="65" t="s">
        <v>907</v>
      </c>
      <c r="I13" s="159">
        <v>12500</v>
      </c>
      <c r="K13" s="193"/>
    </row>
    <row r="14" spans="1:11" x14ac:dyDescent="0.25">
      <c r="A14" s="5"/>
      <c r="B14" s="64" t="s">
        <v>918</v>
      </c>
      <c r="C14" s="65" t="s">
        <v>69</v>
      </c>
      <c r="D14" s="159">
        <v>8.4496936098415656</v>
      </c>
      <c r="G14" s="64" t="s">
        <v>941</v>
      </c>
      <c r="H14" s="65" t="s">
        <v>906</v>
      </c>
      <c r="I14" s="159">
        <v>500000</v>
      </c>
      <c r="K14" s="193"/>
    </row>
    <row r="15" spans="1:11" x14ac:dyDescent="0.25">
      <c r="A15" s="5"/>
      <c r="B15" s="66" t="s">
        <v>919</v>
      </c>
      <c r="C15" s="65" t="s">
        <v>69</v>
      </c>
      <c r="D15" s="159">
        <v>6.8877805486284283</v>
      </c>
    </row>
    <row r="16" spans="1:11" x14ac:dyDescent="0.25">
      <c r="A16" s="5"/>
      <c r="B16" s="66" t="s">
        <v>920</v>
      </c>
      <c r="C16" s="65" t="s">
        <v>69</v>
      </c>
      <c r="D16" s="159">
        <v>11.479634247714047</v>
      </c>
    </row>
    <row r="17" spans="1:5" x14ac:dyDescent="0.25">
      <c r="A17" s="5"/>
      <c r="B17" s="66" t="s">
        <v>921</v>
      </c>
      <c r="C17" s="65" t="s">
        <v>69</v>
      </c>
      <c r="D17" s="159">
        <v>9.7576891105569388</v>
      </c>
    </row>
    <row r="18" spans="1:5" x14ac:dyDescent="0.25">
      <c r="A18" s="5"/>
      <c r="B18" s="66" t="s">
        <v>922</v>
      </c>
      <c r="C18" s="65" t="s">
        <v>69</v>
      </c>
      <c r="D18" s="159">
        <v>39.030756442227755</v>
      </c>
    </row>
    <row r="19" spans="1:5" x14ac:dyDescent="0.25">
      <c r="A19" s="5"/>
      <c r="B19" s="66" t="s">
        <v>923</v>
      </c>
      <c r="C19" s="68" t="s">
        <v>69</v>
      </c>
      <c r="D19" s="159">
        <v>11.000997506234413</v>
      </c>
    </row>
    <row r="20" spans="1:5" x14ac:dyDescent="0.25">
      <c r="A20" s="5"/>
      <c r="B20" s="66" t="s">
        <v>924</v>
      </c>
      <c r="C20" s="68" t="s">
        <v>4</v>
      </c>
      <c r="D20" s="159">
        <v>4.6049875311720694</v>
      </c>
    </row>
    <row r="21" spans="1:5" x14ac:dyDescent="0.25">
      <c r="A21" s="5"/>
      <c r="B21" s="66" t="s">
        <v>925</v>
      </c>
      <c r="C21" s="65" t="s">
        <v>75</v>
      </c>
      <c r="D21" s="159"/>
    </row>
    <row r="22" spans="1:5" x14ac:dyDescent="0.25">
      <c r="A22" s="5"/>
      <c r="B22" s="66" t="s">
        <v>926</v>
      </c>
      <c r="C22" s="65" t="s">
        <v>69</v>
      </c>
      <c r="D22" s="159">
        <v>201.94114713216956</v>
      </c>
    </row>
    <row r="23" spans="1:5" x14ac:dyDescent="0.25">
      <c r="B23" s="64" t="s">
        <v>927</v>
      </c>
      <c r="C23" s="65" t="s">
        <v>69</v>
      </c>
      <c r="D23" s="159">
        <v>106.82493765586035</v>
      </c>
    </row>
    <row r="24" spans="1:5" x14ac:dyDescent="0.25">
      <c r="B24" s="64" t="s">
        <v>928</v>
      </c>
      <c r="C24" s="65" t="s">
        <v>69</v>
      </c>
      <c r="D24" s="159">
        <v>289.67780548628429</v>
      </c>
      <c r="E24" s="167"/>
    </row>
    <row r="25" spans="1:5" x14ac:dyDescent="0.25">
      <c r="B25" s="64" t="s">
        <v>929</v>
      </c>
      <c r="C25" s="65" t="s">
        <v>75</v>
      </c>
      <c r="D25" s="159">
        <v>1530.9593516209475</v>
      </c>
    </row>
    <row r="26" spans="1:5" x14ac:dyDescent="0.25">
      <c r="B26" s="66" t="s">
        <v>930</v>
      </c>
      <c r="C26" s="68" t="s">
        <v>75</v>
      </c>
      <c r="D26" s="159">
        <v>2112.7557486253163</v>
      </c>
    </row>
    <row r="27" spans="1:5" x14ac:dyDescent="0.25">
      <c r="B27" s="64" t="s">
        <v>931</v>
      </c>
      <c r="C27" s="65" t="s">
        <v>27</v>
      </c>
      <c r="D27" s="159">
        <v>158142.83391521196</v>
      </c>
    </row>
    <row r="28" spans="1:5" x14ac:dyDescent="0.25">
      <c r="B28" s="64" t="s">
        <v>932</v>
      </c>
      <c r="C28" s="65" t="s">
        <v>279</v>
      </c>
      <c r="D28" s="159">
        <v>40229.29825436409</v>
      </c>
    </row>
  </sheetData>
  <mergeCells count="6">
    <mergeCell ref="I3:I4"/>
    <mergeCell ref="D3:D4"/>
    <mergeCell ref="C3:C4"/>
    <mergeCell ref="B3:B4"/>
    <mergeCell ref="G3:G4"/>
    <mergeCell ref="H3:H4"/>
  </mergeCells>
  <pageMargins left="0.51181102362204722" right="0.51181102362204722" top="0.78740157480314965" bottom="0.78740157480314965" header="0.31496062992125984" footer="0.31496062992125984"/>
  <pageSetup paperSize="9" scale="8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57"/>
  <sheetViews>
    <sheetView workbookViewId="0">
      <selection activeCell="B8" sqref="B8"/>
    </sheetView>
  </sheetViews>
  <sheetFormatPr defaultColWidth="9.109375" defaultRowHeight="12.75" customHeight="1" x14ac:dyDescent="0.2"/>
  <cols>
    <col min="1" max="1" width="3.88671875" style="145" customWidth="1"/>
    <col min="2" max="2" width="46.88671875" style="145" bestFit="1" customWidth="1"/>
    <col min="3" max="3" width="4.6640625" style="145" bestFit="1" customWidth="1"/>
    <col min="4" max="4" width="15.6640625" style="145" customWidth="1"/>
    <col min="5" max="5" width="9.109375" style="145" customWidth="1"/>
    <col min="6" max="6" width="63.5546875" style="145" bestFit="1" customWidth="1"/>
    <col min="7" max="7" width="9" style="145" bestFit="1" customWidth="1"/>
    <col min="8" max="8" width="15.6640625" style="145" bestFit="1" customWidth="1"/>
    <col min="9" max="16384" width="9.109375" style="145"/>
  </cols>
  <sheetData>
    <row r="1" spans="1:8" ht="12.75" customHeight="1" x14ac:dyDescent="0.2">
      <c r="A1" s="63" t="s">
        <v>453</v>
      </c>
      <c r="B1" s="144"/>
      <c r="D1" s="142"/>
      <c r="E1" s="142"/>
    </row>
    <row r="2" spans="1:8" ht="12.75" customHeight="1" x14ac:dyDescent="0.2">
      <c r="A2" s="144"/>
      <c r="B2" s="144"/>
      <c r="C2" s="142"/>
      <c r="D2" s="144"/>
      <c r="E2" s="144"/>
    </row>
    <row r="3" spans="1:8" ht="12.75" customHeight="1" x14ac:dyDescent="0.2">
      <c r="A3" s="63"/>
      <c r="B3" s="178" t="s">
        <v>0</v>
      </c>
      <c r="C3" s="174" t="s">
        <v>451</v>
      </c>
      <c r="D3" s="176" t="s">
        <v>454</v>
      </c>
      <c r="E3" s="107"/>
      <c r="F3" s="174" t="s">
        <v>0</v>
      </c>
      <c r="G3" s="174" t="s">
        <v>455</v>
      </c>
      <c r="H3" s="173" t="s">
        <v>454</v>
      </c>
    </row>
    <row r="4" spans="1:8" ht="12.75" customHeight="1" x14ac:dyDescent="0.2">
      <c r="A4" s="63"/>
      <c r="B4" s="179"/>
      <c r="C4" s="175"/>
      <c r="D4" s="177"/>
      <c r="E4" s="107"/>
      <c r="F4" s="175"/>
      <c r="G4" s="175"/>
      <c r="H4" s="173"/>
    </row>
    <row r="5" spans="1:8" ht="12.75" customHeight="1" x14ac:dyDescent="0.2">
      <c r="A5" s="144"/>
      <c r="B5" s="169" t="str">
        <f>unit_prices!B5</f>
        <v>Excavación común</v>
      </c>
      <c r="C5" s="65" t="s">
        <v>69</v>
      </c>
      <c r="D5" s="115">
        <f>budget!F71+budget!F95+budget!F117+budget!F136+budget!F155+budget!F168+budget!F179+budget!F197+budget!F213+budget!F232+budget!F255+budget!F270+budget!F283+budget!F298</f>
        <v>55.312967581047374</v>
      </c>
      <c r="E5" s="168"/>
      <c r="F5" s="64" t="s">
        <v>481</v>
      </c>
      <c r="G5" s="65" t="s">
        <v>1</v>
      </c>
      <c r="H5" s="115">
        <f>budget!F7</f>
        <v>0</v>
      </c>
    </row>
    <row r="6" spans="1:8" ht="12.75" customHeight="1" x14ac:dyDescent="0.2">
      <c r="A6" s="144"/>
      <c r="B6" s="169" t="str">
        <f>unit_prices!B6</f>
        <v>Excavación de roca superficial</v>
      </c>
      <c r="C6" s="65" t="s">
        <v>69</v>
      </c>
      <c r="D6" s="115">
        <f>budget!F72+budget!F96+budget!F118+budget!F138+budget!F156+budget!F169+budget!F180+budget!F198+budget!F214+budget!F233+budget!F256+budget!F271+budget!F284+budget!F299</f>
        <v>578.70189526184538</v>
      </c>
      <c r="E6" s="168"/>
      <c r="F6" s="64" t="s">
        <v>482</v>
      </c>
      <c r="G6" s="65" t="s">
        <v>64</v>
      </c>
      <c r="H6" s="115">
        <f>budget!F67</f>
        <v>6035.5670423940155</v>
      </c>
    </row>
    <row r="7" spans="1:8" ht="12.75" customHeight="1" x14ac:dyDescent="0.2">
      <c r="A7" s="144"/>
      <c r="B7" s="169" t="str">
        <f>unit_prices!B7</f>
        <v>Excavación de roca subterránea</v>
      </c>
      <c r="C7" s="65" t="s">
        <v>69</v>
      </c>
      <c r="D7" s="115">
        <f>budget!F73+budget!F97+budget!F257+budget!F272+budget!F285+budget!F300</f>
        <v>1630.7135162094762</v>
      </c>
      <c r="E7" s="168"/>
      <c r="F7" s="64" t="s">
        <v>483</v>
      </c>
      <c r="G7" s="65" t="s">
        <v>80</v>
      </c>
      <c r="H7" s="115">
        <f>budget!F83</f>
        <v>21601.364787799019</v>
      </c>
    </row>
    <row r="8" spans="1:8" ht="12.75" customHeight="1" x14ac:dyDescent="0.2">
      <c r="A8" s="144"/>
      <c r="B8" s="169" t="str">
        <f>unit_prices!B8</f>
        <v>Préstamo (extracción) de suelo</v>
      </c>
      <c r="C8" s="65" t="s">
        <v>69</v>
      </c>
      <c r="D8" s="115">
        <f>budget!F137</f>
        <v>0</v>
      </c>
      <c r="E8" s="168"/>
      <c r="F8" s="70" t="s">
        <v>484</v>
      </c>
      <c r="G8" s="65" t="s">
        <v>81</v>
      </c>
      <c r="H8" s="115">
        <f>budget!F84</f>
        <v>1580.6705221831462</v>
      </c>
    </row>
    <row r="9" spans="1:8" ht="12.75" customHeight="1" x14ac:dyDescent="0.2">
      <c r="A9" s="144"/>
      <c r="B9" s="169" t="str">
        <f>unit_prices!B9</f>
        <v>Roca de cantera</v>
      </c>
      <c r="C9" s="65" t="s">
        <v>69</v>
      </c>
      <c r="D9" s="115">
        <f>budget!F139</f>
        <v>418.94304239401492</v>
      </c>
      <c r="E9" s="168"/>
      <c r="F9" s="70" t="s">
        <v>485</v>
      </c>
      <c r="G9" s="65" t="s">
        <v>90</v>
      </c>
      <c r="H9" s="115">
        <f>budget!F133</f>
        <v>1746.5153440399001</v>
      </c>
    </row>
    <row r="10" spans="1:8" ht="12.75" customHeight="1" x14ac:dyDescent="0.2">
      <c r="A10" s="144"/>
      <c r="B10" s="169" t="str">
        <f>unit_prices!B10</f>
        <v>Zona de limpieza y tratamiento de fundación - presas de tierra o enrocado</v>
      </c>
      <c r="C10" s="65" t="s">
        <v>4</v>
      </c>
      <c r="D10" s="115">
        <f>budget!F98+budget!F140+budget!F301+(iocosts!B111+iocosts!B119+iocosts!B133)*unit_prices!D10/1000</f>
        <v>71.788329177057349</v>
      </c>
      <c r="E10" s="168"/>
      <c r="F10" s="70" t="s">
        <v>488</v>
      </c>
      <c r="G10" s="65" t="s">
        <v>118</v>
      </c>
      <c r="H10" s="115">
        <f>budget!F176</f>
        <v>4564.8878603491266</v>
      </c>
    </row>
    <row r="11" spans="1:8" ht="12.75" customHeight="1" x14ac:dyDescent="0.2">
      <c r="A11" s="144"/>
      <c r="B11" s="169" t="str">
        <f>unit_prices!B11</f>
        <v>Zona de limpieza y tratamiento de fundación - estructuras de hormigón</v>
      </c>
      <c r="C11" s="65" t="s">
        <v>4</v>
      </c>
      <c r="D11" s="115">
        <f>budget!F74+budget!F119+budget!F157+budget!F170+budget!F181+budget!F199+budget!F215+budget!F273+(iocosts!B112+iocosts!B120+iocosts!B134)*unit_prices!D11/1000</f>
        <v>676.37004987531179</v>
      </c>
      <c r="E11" s="168"/>
      <c r="F11" s="70" t="s">
        <v>486</v>
      </c>
      <c r="G11" s="65" t="s">
        <v>135</v>
      </c>
      <c r="H11" s="115">
        <f>budget!F210</f>
        <v>10109.063596593676</v>
      </c>
    </row>
    <row r="12" spans="1:8" ht="12.75" customHeight="1" x14ac:dyDescent="0.2">
      <c r="A12" s="144"/>
      <c r="B12" s="169" t="str">
        <f>unit_prices!B12</f>
        <v>Remoción de ataguía</v>
      </c>
      <c r="C12" s="65" t="s">
        <v>69</v>
      </c>
      <c r="D12" s="115">
        <f>budget!F90</f>
        <v>2.5825239532747082</v>
      </c>
      <c r="E12" s="168"/>
      <c r="F12" s="70" t="s">
        <v>487</v>
      </c>
      <c r="G12" s="65" t="s">
        <v>175</v>
      </c>
      <c r="H12" s="115">
        <f>budget!F310</f>
        <v>0</v>
      </c>
    </row>
    <row r="13" spans="1:8" ht="12.75" customHeight="1" x14ac:dyDescent="0.2">
      <c r="A13" s="144"/>
      <c r="B13" s="169" t="str">
        <f>unit_prices!B13</f>
        <v>Ataguía - primer etapa</v>
      </c>
      <c r="C13" s="65" t="s">
        <v>69</v>
      </c>
      <c r="D13" s="115">
        <f>budget!F87</f>
        <v>0</v>
      </c>
      <c r="E13" s="168"/>
      <c r="F13" s="64" t="s">
        <v>489</v>
      </c>
      <c r="G13" s="65" t="s">
        <v>180</v>
      </c>
      <c r="H13" s="115">
        <f>budget!F319</f>
        <v>48146.400000000001</v>
      </c>
    </row>
    <row r="14" spans="1:8" ht="12.75" customHeight="1" x14ac:dyDescent="0.2">
      <c r="A14" s="144"/>
      <c r="B14" s="169" t="str">
        <f>unit_prices!B14</f>
        <v>Ataguía - segunda etapa</v>
      </c>
      <c r="C14" s="65" t="s">
        <v>69</v>
      </c>
      <c r="D14" s="115">
        <f>budget!F88</f>
        <v>8.4496936098415656</v>
      </c>
      <c r="E14" s="168"/>
      <c r="F14" s="64" t="s">
        <v>490</v>
      </c>
      <c r="G14" s="65" t="s">
        <v>187</v>
      </c>
      <c r="H14" s="115">
        <f>budget!F328</f>
        <v>10399.6224</v>
      </c>
    </row>
    <row r="15" spans="1:8" ht="12.75" customHeight="1" x14ac:dyDescent="0.2">
      <c r="A15" s="144"/>
      <c r="B15" s="169" t="str">
        <f>unit_prices!B15</f>
        <v>Volumen de terraplén compactado en presas de tierra</v>
      </c>
      <c r="C15" s="65" t="s">
        <v>69</v>
      </c>
      <c r="D15" s="115">
        <f>budget!F141</f>
        <v>0</v>
      </c>
      <c r="E15" s="168"/>
      <c r="F15" s="64" t="s">
        <v>491</v>
      </c>
      <c r="G15" s="69" t="s">
        <v>190</v>
      </c>
      <c r="H15" s="115">
        <f>budget!F333</f>
        <v>6808.5407999999998</v>
      </c>
    </row>
    <row r="16" spans="1:8" ht="12.75" customHeight="1" x14ac:dyDescent="0.2">
      <c r="A16" s="144"/>
      <c r="B16" s="169" t="str">
        <f>unit_prices!B16</f>
        <v>Volumen del núcleo de arcilla en presas de escollera (enrocado)</v>
      </c>
      <c r="C16" s="65" t="s">
        <v>69</v>
      </c>
      <c r="D16" s="115">
        <f>budget!F143</f>
        <v>91.837073981712379</v>
      </c>
      <c r="E16" s="168"/>
      <c r="F16" s="64" t="s">
        <v>492</v>
      </c>
      <c r="G16" s="69" t="s">
        <v>194</v>
      </c>
      <c r="H16" s="115">
        <f>budget!F340</f>
        <v>5207.0585919201994</v>
      </c>
    </row>
    <row r="17" spans="1:8" ht="12.75" customHeight="1" x14ac:dyDescent="0.2">
      <c r="A17" s="144"/>
      <c r="B17" s="169" t="str">
        <f>unit_prices!B17</f>
        <v>Volumen de roca en presas de escollera (presa de enrocado)</v>
      </c>
      <c r="C17" s="65" t="s">
        <v>69</v>
      </c>
      <c r="D17" s="115">
        <f>budget!F142</f>
        <v>156.12302576891102</v>
      </c>
      <c r="E17" s="168"/>
      <c r="F17" s="64" t="s">
        <v>493</v>
      </c>
      <c r="G17" s="69"/>
      <c r="H17" s="115">
        <f>budget!F348</f>
        <v>98198.553622113235</v>
      </c>
    </row>
    <row r="18" spans="1:8" ht="12.75" customHeight="1" x14ac:dyDescent="0.2">
      <c r="A18" s="144"/>
      <c r="B18" s="169" t="str">
        <f>unit_prices!B18</f>
        <v>Filtros y transiciones</v>
      </c>
      <c r="C18" s="65" t="s">
        <v>69</v>
      </c>
      <c r="D18" s="115">
        <f>budget!F144</f>
        <v>0</v>
      </c>
      <c r="E18" s="168"/>
      <c r="F18" s="64" t="s">
        <v>494</v>
      </c>
      <c r="G18" s="65" t="s">
        <v>200</v>
      </c>
      <c r="H18" s="115">
        <f>budget!F350</f>
        <v>12962.209078118945</v>
      </c>
    </row>
    <row r="19" spans="1:8" ht="12.75" customHeight="1" x14ac:dyDescent="0.2">
      <c r="A19" s="144"/>
      <c r="B19" s="169" t="str">
        <f>unit_prices!B19</f>
        <v>Volumen de rip-rap de la presa de tierra (protección del talud aguas arriba)</v>
      </c>
      <c r="C19" s="68" t="s">
        <v>69</v>
      </c>
      <c r="D19" s="115">
        <f>budget!F150</f>
        <v>0</v>
      </c>
      <c r="E19" s="168"/>
      <c r="F19" s="64" t="s">
        <v>880</v>
      </c>
      <c r="G19" s="65"/>
      <c r="H19" s="115">
        <f>budget!F363</f>
        <v>111160.76270023218</v>
      </c>
    </row>
    <row r="20" spans="1:8" ht="12.75" customHeight="1" x14ac:dyDescent="0.2">
      <c r="A20" s="144"/>
      <c r="B20" s="169" t="str">
        <f>unit_prices!B20</f>
        <v>Talud aguas abajo de la presa de enrocado (protección en gramínea)</v>
      </c>
      <c r="C20" s="68" t="s">
        <v>4</v>
      </c>
      <c r="D20" s="115">
        <f>budget!F151</f>
        <v>0</v>
      </c>
      <c r="E20" s="168"/>
      <c r="F20" s="64" t="s">
        <v>882</v>
      </c>
      <c r="G20" s="65" t="s">
        <v>211</v>
      </c>
      <c r="H20" s="115">
        <f>budget!F365</f>
        <v>13339.291524027862</v>
      </c>
    </row>
    <row r="21" spans="1:8" ht="12.75" customHeight="1" x14ac:dyDescent="0.2">
      <c r="A21" s="144"/>
      <c r="B21" s="169" t="str">
        <f>unit_prices!B21</f>
        <v>Cemento</v>
      </c>
      <c r="C21" s="65" t="s">
        <v>75</v>
      </c>
      <c r="D21" s="115">
        <f>budget!F76+budget!F100+budget!F104+budget!F108+budget!F121+budget!F125+budget!F146+budget!F159+budget!F163+budget!F172+budget!F183+budget!F187+budget!F201+budget!F217+budget!F221+budget!F236+budget!F240+budget!F244+budget!F260+budget!F264+budget!F275+budget!F288+budget!F303+budget!F307</f>
        <v>0</v>
      </c>
      <c r="E21" s="168"/>
      <c r="F21" s="64" t="s">
        <v>881</v>
      </c>
      <c r="G21" s="65"/>
      <c r="H21" s="115">
        <f>budget!F367</f>
        <v>124500.05422426005</v>
      </c>
    </row>
    <row r="22" spans="1:8" ht="12.75" customHeight="1" x14ac:dyDescent="0.2">
      <c r="A22" s="144"/>
      <c r="B22" s="169" t="str">
        <f>unit_prices!B22</f>
        <v>Hormigón (concreto) estructural</v>
      </c>
      <c r="C22" s="65" t="s">
        <v>69</v>
      </c>
      <c r="D22" s="115">
        <f>budget!F77+budget!F101+budget!F122+budget!F147+budget!F160+budget!F173+budget!F184+budget!F202+budget!F218+budget!F237+budget!F261+budget!F276+budget!F289+budget!F304</f>
        <v>5270.663940149625</v>
      </c>
      <c r="E22" s="168"/>
      <c r="H22" s="143"/>
    </row>
    <row r="23" spans="1:8" ht="12.75" customHeight="1" x14ac:dyDescent="0.2">
      <c r="A23" s="144"/>
      <c r="B23" s="169" t="str">
        <f>unit_prices!B23</f>
        <v>Hormigón (concreto) compactado con rodillo o hormigón en masa</v>
      </c>
      <c r="C23" s="65" t="s">
        <v>69</v>
      </c>
      <c r="D23" s="115">
        <f>budget!F109+budget!F126+budget!F164+budget!F188+budget!F222+budget!F245+budget!F308</f>
        <v>53.412468827930176</v>
      </c>
      <c r="E23" s="168"/>
      <c r="F23" s="64" t="s">
        <v>883</v>
      </c>
      <c r="G23" s="65" t="s">
        <v>1</v>
      </c>
      <c r="H23" s="115">
        <f>H5</f>
        <v>0</v>
      </c>
    </row>
    <row r="24" spans="1:8" ht="12.75" customHeight="1" x14ac:dyDescent="0.2">
      <c r="A24" s="144"/>
      <c r="B24" s="169" t="str">
        <f>unit_prices!B24</f>
        <v>Hormigón (concreto) proyectado (shotcrete)</v>
      </c>
      <c r="C24" s="65" t="s">
        <v>69</v>
      </c>
      <c r="D24" s="115">
        <f>budget!F105+budget!F241+budget!F265</f>
        <v>550.38783042394016</v>
      </c>
      <c r="E24" s="168"/>
      <c r="F24" s="64" t="s">
        <v>495</v>
      </c>
      <c r="G24" s="146" t="s">
        <v>217</v>
      </c>
      <c r="H24" s="115">
        <f>budget!F67+budget!F314+budget!F316+budget!F340</f>
        <v>22284.694658984863</v>
      </c>
    </row>
    <row r="25" spans="1:8" ht="12.75" customHeight="1" x14ac:dyDescent="0.2">
      <c r="A25" s="144"/>
      <c r="B25" s="169" t="str">
        <f>unit_prices!B25</f>
        <v>Acero de refuerzo en estructuras de hormigón</v>
      </c>
      <c r="C25" s="65" t="s">
        <v>75</v>
      </c>
      <c r="D25" s="115">
        <f>budget!F78+budget!F102+budget!F106+budget!F123+budget!F148+budget!F161+budget!F174+budget!F185+budget!F203+budget!F219+budget!F238+budget!F242+budget!F262+budget!F266+budget!F277+budget!F290+budget!F305</f>
        <v>2305.6247835411473</v>
      </c>
      <c r="E25" s="144"/>
      <c r="F25" s="64" t="s">
        <v>496</v>
      </c>
      <c r="G25" s="146" t="s">
        <v>217</v>
      </c>
      <c r="H25" s="115">
        <f>budget!F315+budget!F317+budget!F319+budget!F328+budget!F333</f>
        <v>75913.858963128368</v>
      </c>
    </row>
    <row r="26" spans="1:8" ht="12.75" customHeight="1" x14ac:dyDescent="0.2">
      <c r="A26" s="144"/>
      <c r="B26" s="169" t="str">
        <f>unit_prices!B26</f>
        <v>Blindaje de la tubería forzada</v>
      </c>
      <c r="C26" s="65" t="s">
        <v>75</v>
      </c>
      <c r="D26" s="115">
        <f>budget!F279+budget!F292</f>
        <v>1244.4131359403113</v>
      </c>
      <c r="F26" s="64" t="s">
        <v>494</v>
      </c>
      <c r="G26" s="65" t="s">
        <v>200</v>
      </c>
      <c r="H26" s="115">
        <f>H18</f>
        <v>12962.209078118945</v>
      </c>
    </row>
    <row r="27" spans="1:8" ht="12.75" customHeight="1" x14ac:dyDescent="0.2">
      <c r="F27" s="64" t="s">
        <v>882</v>
      </c>
      <c r="G27" s="65" t="s">
        <v>211</v>
      </c>
      <c r="H27" s="115">
        <f>H20</f>
        <v>13339.291524027862</v>
      </c>
    </row>
    <row r="28" spans="1:8" ht="12.75" customHeight="1" x14ac:dyDescent="0.2">
      <c r="F28" s="64"/>
      <c r="H28" s="143"/>
    </row>
    <row r="29" spans="1:8" ht="12.75" customHeight="1" x14ac:dyDescent="0.2">
      <c r="F29" s="64" t="s">
        <v>498</v>
      </c>
      <c r="G29" s="65" t="s">
        <v>218</v>
      </c>
      <c r="H29" s="117">
        <f>budget!D368/1000</f>
        <v>100</v>
      </c>
    </row>
    <row r="30" spans="1:8" ht="12.75" customHeight="1" x14ac:dyDescent="0.2">
      <c r="F30" s="64" t="s">
        <v>497</v>
      </c>
      <c r="G30" s="65" t="s">
        <v>842</v>
      </c>
      <c r="H30" s="115">
        <f>budget!F369</f>
        <v>1245.0005422426004</v>
      </c>
    </row>
    <row r="31" spans="1:8" ht="12.75" customHeight="1" x14ac:dyDescent="0.2">
      <c r="F31" s="63"/>
      <c r="G31" s="142"/>
      <c r="H31" s="143"/>
    </row>
    <row r="32" spans="1:8" ht="12.75" customHeight="1" x14ac:dyDescent="0.2">
      <c r="A32" s="63" t="s">
        <v>456</v>
      </c>
      <c r="B32" s="144"/>
      <c r="C32" s="142"/>
      <c r="D32" s="144"/>
    </row>
    <row r="33" spans="1:6" ht="12.75" customHeight="1" x14ac:dyDescent="0.2">
      <c r="A33" s="144"/>
      <c r="B33" s="144"/>
      <c r="C33" s="142"/>
      <c r="D33" s="144"/>
    </row>
    <row r="34" spans="1:6" ht="12.75" customHeight="1" x14ac:dyDescent="0.25">
      <c r="A34" s="63"/>
      <c r="B34" s="174" t="s">
        <v>0</v>
      </c>
      <c r="C34" s="174" t="s">
        <v>451</v>
      </c>
      <c r="D34" s="176" t="s">
        <v>460</v>
      </c>
      <c r="F34"/>
    </row>
    <row r="35" spans="1:6" ht="12.75" customHeight="1" x14ac:dyDescent="0.2">
      <c r="A35" s="63"/>
      <c r="B35" s="175"/>
      <c r="C35" s="175"/>
      <c r="D35" s="177"/>
    </row>
    <row r="36" spans="1:6" ht="12.75" customHeight="1" x14ac:dyDescent="0.2">
      <c r="A36" s="144"/>
      <c r="B36" s="64" t="str">
        <f>B5</f>
        <v>Excavación común</v>
      </c>
      <c r="C36" s="65" t="s">
        <v>69</v>
      </c>
      <c r="D36" s="67">
        <f>budget!D71+budget!D95+budget!D117+budget!D136+budget!D155+budget!D168+budget!D179+budget!D197+budget!D213+budget!D232+budget!D255+budget!D270+budget!D283+budget!D298</f>
        <v>9300</v>
      </c>
    </row>
    <row r="37" spans="1:6" ht="12.75" customHeight="1" x14ac:dyDescent="0.2">
      <c r="A37" s="144"/>
      <c r="B37" s="64" t="str">
        <f t="shared" ref="B37:B57" si="0">B6</f>
        <v>Excavación de roca superficial</v>
      </c>
      <c r="C37" s="65" t="s">
        <v>69</v>
      </c>
      <c r="D37" s="67">
        <f>budget!D72+budget!D96+budget!D118+budget!D138+budget!D156+budget!D169+budget!D180+budget!D198+budget!D214+budget!D233+budget!D256+budget!D271+budget!D284+budget!D299</f>
        <v>21400</v>
      </c>
    </row>
    <row r="38" spans="1:6" ht="12.75" customHeight="1" x14ac:dyDescent="0.2">
      <c r="A38" s="144"/>
      <c r="B38" s="64" t="str">
        <f t="shared" si="0"/>
        <v>Excavación de roca subterránea</v>
      </c>
      <c r="C38" s="65" t="s">
        <v>69</v>
      </c>
      <c r="D38" s="67">
        <f>budget!D73+budget!D97+budget!D257+budget!D272+budget!D285+budget!D300</f>
        <v>10600</v>
      </c>
    </row>
    <row r="39" spans="1:6" ht="12.75" customHeight="1" x14ac:dyDescent="0.2">
      <c r="A39" s="144"/>
      <c r="B39" s="64" t="str">
        <f t="shared" si="0"/>
        <v>Préstamo (extracción) de suelo</v>
      </c>
      <c r="C39" s="65" t="s">
        <v>69</v>
      </c>
      <c r="D39" s="67">
        <f>budget!D137</f>
        <v>0</v>
      </c>
    </row>
    <row r="40" spans="1:6" ht="12.75" customHeight="1" x14ac:dyDescent="0.2">
      <c r="A40" s="144"/>
      <c r="B40" s="64" t="str">
        <f t="shared" si="0"/>
        <v>Roca de cantera</v>
      </c>
      <c r="C40" s="65" t="s">
        <v>69</v>
      </c>
      <c r="D40" s="67">
        <f>budget!D139</f>
        <v>12000</v>
      </c>
    </row>
    <row r="41" spans="1:6" ht="12.75" customHeight="1" x14ac:dyDescent="0.2">
      <c r="A41" s="144"/>
      <c r="B41" s="64" t="str">
        <f t="shared" si="0"/>
        <v>Zona de limpieza y tratamiento de fundación - presas de tierra o enrocado</v>
      </c>
      <c r="C41" s="65" t="s">
        <v>4</v>
      </c>
      <c r="D41" s="67">
        <f>budget!D98+budget!D140+budget!D301+iocosts!B111+iocosts!B119+iocosts!B133</f>
        <v>12200</v>
      </c>
    </row>
    <row r="42" spans="1:6" ht="12.75" customHeight="1" x14ac:dyDescent="0.2">
      <c r="A42" s="144"/>
      <c r="B42" s="64" t="str">
        <f t="shared" si="0"/>
        <v>Zona de limpieza y tratamiento de fundación - estructuras de hormigón</v>
      </c>
      <c r="C42" s="65" t="s">
        <v>4</v>
      </c>
      <c r="D42" s="67">
        <f>budget!D74+budget!D119+budget!D157+budget!D170+budget!D181+budget!D199+budget!D215+iocosts!B112+iocosts!B120+budget!D273+iocosts!B134</f>
        <v>15150</v>
      </c>
    </row>
    <row r="43" spans="1:6" ht="12.75" customHeight="1" x14ac:dyDescent="0.2">
      <c r="A43" s="144"/>
      <c r="B43" s="64" t="str">
        <f t="shared" si="0"/>
        <v>Remoción de ataguía</v>
      </c>
      <c r="C43" s="65" t="s">
        <v>69</v>
      </c>
      <c r="D43" s="67">
        <f>budget!D90</f>
        <v>500</v>
      </c>
    </row>
    <row r="44" spans="1:6" ht="12.75" customHeight="1" x14ac:dyDescent="0.2">
      <c r="A44" s="144"/>
      <c r="B44" s="64" t="str">
        <f t="shared" si="0"/>
        <v>Ataguía - primer etapa</v>
      </c>
      <c r="C44" s="65" t="s">
        <v>69</v>
      </c>
      <c r="D44" s="67">
        <f>budget!D87</f>
        <v>0</v>
      </c>
    </row>
    <row r="45" spans="1:6" ht="12.75" customHeight="1" x14ac:dyDescent="0.2">
      <c r="A45" s="144"/>
      <c r="B45" s="64" t="str">
        <f t="shared" si="0"/>
        <v>Ataguía - segunda etapa</v>
      </c>
      <c r="C45" s="65" t="s">
        <v>69</v>
      </c>
      <c r="D45" s="67">
        <f>budget!D88</f>
        <v>1000</v>
      </c>
    </row>
    <row r="46" spans="1:6" ht="12.75" customHeight="1" x14ac:dyDescent="0.2">
      <c r="A46" s="144"/>
      <c r="B46" s="64" t="str">
        <f t="shared" si="0"/>
        <v>Volumen de terraplén compactado en presas de tierra</v>
      </c>
      <c r="C46" s="65" t="s">
        <v>69</v>
      </c>
      <c r="D46" s="67">
        <f>budget!D141</f>
        <v>0</v>
      </c>
    </row>
    <row r="47" spans="1:6" ht="12.75" customHeight="1" x14ac:dyDescent="0.2">
      <c r="A47" s="144"/>
      <c r="B47" s="64" t="str">
        <f t="shared" si="0"/>
        <v>Volumen del núcleo de arcilla en presas de escollera (enrocado)</v>
      </c>
      <c r="C47" s="65" t="s">
        <v>69</v>
      </c>
      <c r="D47" s="67">
        <f>budget!D143</f>
        <v>8000</v>
      </c>
    </row>
    <row r="48" spans="1:6" ht="12.75" customHeight="1" x14ac:dyDescent="0.2">
      <c r="A48" s="144"/>
      <c r="B48" s="64" t="str">
        <f t="shared" si="0"/>
        <v>Volumen de roca en presas de escollera (presa de enrocado)</v>
      </c>
      <c r="C48" s="65" t="s">
        <v>69</v>
      </c>
      <c r="D48" s="67">
        <f>budget!D142</f>
        <v>16000</v>
      </c>
    </row>
    <row r="49" spans="1:4" ht="12.75" customHeight="1" x14ac:dyDescent="0.2">
      <c r="A49" s="144"/>
      <c r="B49" s="64" t="str">
        <f t="shared" si="0"/>
        <v>Filtros y transiciones</v>
      </c>
      <c r="C49" s="65" t="s">
        <v>69</v>
      </c>
      <c r="D49" s="67">
        <f>budget!D144</f>
        <v>0</v>
      </c>
    </row>
    <row r="50" spans="1:4" ht="12.75" customHeight="1" x14ac:dyDescent="0.2">
      <c r="A50" s="144"/>
      <c r="B50" s="64" t="str">
        <f t="shared" si="0"/>
        <v>Volumen de rip-rap de la presa de tierra (protección del talud aguas arriba)</v>
      </c>
      <c r="C50" s="68" t="s">
        <v>69</v>
      </c>
      <c r="D50" s="67">
        <f>budget!D150</f>
        <v>0</v>
      </c>
    </row>
    <row r="51" spans="1:4" ht="12.75" customHeight="1" x14ac:dyDescent="0.2">
      <c r="A51" s="144"/>
      <c r="B51" s="64" t="str">
        <f t="shared" si="0"/>
        <v>Talud aguas abajo de la presa de enrocado (protección en gramínea)</v>
      </c>
      <c r="C51" s="68" t="s">
        <v>4</v>
      </c>
      <c r="D51" s="67">
        <f>budget!D151</f>
        <v>0</v>
      </c>
    </row>
    <row r="52" spans="1:4" ht="12.75" customHeight="1" x14ac:dyDescent="0.2">
      <c r="A52" s="144"/>
      <c r="B52" s="64" t="str">
        <f t="shared" si="0"/>
        <v>Cemento</v>
      </c>
      <c r="C52" s="65" t="s">
        <v>75</v>
      </c>
      <c r="D52" s="67">
        <f>budget!D76+budget!D100+budget!D104+budget!D108+budget!D121+budget!D125+budget!D146+budget!D159+budget!D163+budget!D172+budget!D183+budget!D187+budget!D201+budget!D217+budget!D221+budget!D236+budget!D240+budget!D244+budget!D260+budget!D264+budget!D275+budget!D288+budget!D303+budget!D307</f>
        <v>7238</v>
      </c>
    </row>
    <row r="53" spans="1:4" ht="12.75" customHeight="1" x14ac:dyDescent="0.2">
      <c r="A53" s="144"/>
      <c r="B53" s="64" t="str">
        <f t="shared" si="0"/>
        <v>Hormigón (concreto) estructural</v>
      </c>
      <c r="C53" s="65" t="s">
        <v>69</v>
      </c>
      <c r="D53" s="67">
        <f>budget!D77+budget!D101+budget!D122+budget!D147+budget!D160+budget!D173+budget!D184+budget!D202+budget!D218+budget!D237+budget!D261+budget!D276+budget!D289+budget!D304</f>
        <v>26100</v>
      </c>
    </row>
    <row r="54" spans="1:4" ht="12.75" customHeight="1" x14ac:dyDescent="0.2">
      <c r="B54" s="64" t="str">
        <f t="shared" si="0"/>
        <v>Hormigón (concreto) compactado con rodillo o hormigón en masa</v>
      </c>
      <c r="C54" s="65" t="s">
        <v>69</v>
      </c>
      <c r="D54" s="67">
        <f>budget!D109+budget!D126+budget!D164+budget!D188+budget!D222+budget!D245+budget!D308</f>
        <v>500</v>
      </c>
    </row>
    <row r="55" spans="1:4" ht="12.75" customHeight="1" x14ac:dyDescent="0.2">
      <c r="B55" s="64" t="str">
        <f t="shared" si="0"/>
        <v>Hormigón (concreto) proyectado (shotcrete)</v>
      </c>
      <c r="C55" s="65" t="s">
        <v>69</v>
      </c>
      <c r="D55" s="67">
        <f>budget!D105+budget!D241+budget!D265</f>
        <v>1900</v>
      </c>
    </row>
    <row r="56" spans="1:4" ht="12.75" customHeight="1" x14ac:dyDescent="0.2">
      <c r="B56" s="64" t="str">
        <f t="shared" si="0"/>
        <v>Acero de refuerzo en estructuras de hormigón</v>
      </c>
      <c r="C56" s="65" t="s">
        <v>75</v>
      </c>
      <c r="D56" s="67">
        <f>budget!D78+budget!D102+budget!D106+budget!D123+budget!D148+budget!D161+budget!D174+budget!D185+budget!D203+budget!D219+budget!D238+budget!D242+budget!D262+budget!D266+budget!D277+budget!D290+budget!D305</f>
        <v>1506</v>
      </c>
    </row>
    <row r="57" spans="1:4" ht="12.75" customHeight="1" x14ac:dyDescent="0.2">
      <c r="B57" s="64" t="str">
        <f t="shared" si="0"/>
        <v>Blindaje de la tubería forzada</v>
      </c>
      <c r="C57" s="65" t="s">
        <v>75</v>
      </c>
      <c r="D57" s="67">
        <f>budget!D279+budget!D292</f>
        <v>589</v>
      </c>
    </row>
  </sheetData>
  <mergeCells count="9">
    <mergeCell ref="B34:B35"/>
    <mergeCell ref="C34:C35"/>
    <mergeCell ref="D34:D35"/>
    <mergeCell ref="D3:D4"/>
    <mergeCell ref="H3:H4"/>
    <mergeCell ref="F3:F4"/>
    <mergeCell ref="G3:G4"/>
    <mergeCell ref="B3:B4"/>
    <mergeCell ref="C3:C4"/>
  </mergeCells>
  <pageMargins left="0.51181102362204722" right="0.51181102362204722" top="0.78740157480314965" bottom="0.78740157480314965" header="0.31496062992125984" footer="0.31496062992125984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BA938-FB54-48B9-A9AE-6632FD93625F}">
  <dimension ref="A1:G54"/>
  <sheetViews>
    <sheetView workbookViewId="0">
      <selection activeCell="B16" sqref="B16"/>
    </sheetView>
  </sheetViews>
  <sheetFormatPr defaultRowHeight="13.2" x14ac:dyDescent="0.25"/>
  <cols>
    <col min="1" max="1" width="3.88671875" customWidth="1"/>
    <col min="2" max="2" width="50.6640625" bestFit="1" customWidth="1"/>
  </cols>
  <sheetData>
    <row r="1" spans="1:7" x14ac:dyDescent="0.25">
      <c r="A1" s="156" t="s">
        <v>783</v>
      </c>
      <c r="B1" s="158"/>
      <c r="D1" s="111"/>
    </row>
    <row r="2" spans="1:7" x14ac:dyDescent="0.25">
      <c r="C2" s="148" t="s">
        <v>644</v>
      </c>
      <c r="D2" s="148" t="s">
        <v>645</v>
      </c>
      <c r="E2" s="170"/>
    </row>
    <row r="3" spans="1:7" x14ac:dyDescent="0.25">
      <c r="B3" s="157" t="s">
        <v>781</v>
      </c>
      <c r="C3" s="152" t="s">
        <v>69</v>
      </c>
      <c r="D3" s="153">
        <f>summary!D37+summary!D38</f>
        <v>32000</v>
      </c>
    </row>
    <row r="4" spans="1:7" x14ac:dyDescent="0.25">
      <c r="B4" s="157" t="s">
        <v>780</v>
      </c>
      <c r="C4" s="152" t="s">
        <v>69</v>
      </c>
      <c r="D4" s="153">
        <f>SUM(D5:D10)</f>
        <v>43112.083333333328</v>
      </c>
    </row>
    <row r="5" spans="1:7" x14ac:dyDescent="0.25">
      <c r="B5" s="149" t="str">
        <f>unit_prices!B13</f>
        <v>Ataguía - primer etapa</v>
      </c>
      <c r="C5" s="152" t="s">
        <v>69</v>
      </c>
      <c r="D5" s="153">
        <v>0</v>
      </c>
      <c r="E5" s="119"/>
      <c r="F5" s="109" t="s">
        <v>647</v>
      </c>
    </row>
    <row r="6" spans="1:7" x14ac:dyDescent="0.25">
      <c r="B6" s="149" t="str">
        <f>unit_prices!B14</f>
        <v>Ataguía - segunda etapa</v>
      </c>
      <c r="C6" s="152" t="s">
        <v>69</v>
      </c>
      <c r="D6" s="153">
        <f>1/3*summary!D45*D25*E25</f>
        <v>293.33333333333337</v>
      </c>
      <c r="E6" s="119"/>
      <c r="F6" s="109" t="s">
        <v>643</v>
      </c>
    </row>
    <row r="7" spans="1:7" x14ac:dyDescent="0.25">
      <c r="B7" s="149" t="str">
        <f>unit_prices!B17</f>
        <v>Volumen de roca en presas de escollera (presa de enrocado)</v>
      </c>
      <c r="C7" s="152" t="s">
        <v>69</v>
      </c>
      <c r="D7" s="153">
        <f>summary!D48*D26*E26</f>
        <v>14960.000000000002</v>
      </c>
      <c r="E7" s="119"/>
    </row>
    <row r="8" spans="1:7" x14ac:dyDescent="0.25">
      <c r="B8" s="149" t="str">
        <f>unit_prices!B18</f>
        <v>Filtros y transiciones</v>
      </c>
      <c r="C8" s="152" t="s">
        <v>69</v>
      </c>
      <c r="D8" s="153">
        <f>summary!D49*D27*E27</f>
        <v>0</v>
      </c>
      <c r="E8" s="119"/>
    </row>
    <row r="9" spans="1:7" x14ac:dyDescent="0.25">
      <c r="B9" s="149" t="str">
        <f>unit_prices!B19</f>
        <v>Volumen de rip-rap de la presa de tierra (protección del talud aguas arriba)</v>
      </c>
      <c r="C9" s="152" t="s">
        <v>69</v>
      </c>
      <c r="D9" s="153">
        <f>summary!D50*D28*E28</f>
        <v>0</v>
      </c>
    </row>
    <row r="10" spans="1:7" x14ac:dyDescent="0.25">
      <c r="B10" s="154" t="s">
        <v>639</v>
      </c>
      <c r="C10" s="152" t="s">
        <v>69</v>
      </c>
      <c r="D10" s="153">
        <f>(summary!D53+summary!D54+summary!D55)*D29*E29</f>
        <v>27858.749999999996</v>
      </c>
    </row>
    <row r="11" spans="1:7" x14ac:dyDescent="0.25">
      <c r="B11" s="151" t="str">
        <f>unit_prices!B9</f>
        <v>Roca de cantera</v>
      </c>
      <c r="C11" s="152" t="s">
        <v>69</v>
      </c>
      <c r="D11" s="153">
        <f>ROUNDUP(3/5*summary!D44*D24*E24+IF(D4-D3&lt;=0,0, D4-D3),-3)</f>
        <v>12000</v>
      </c>
      <c r="E11" s="111"/>
      <c r="F11" s="109" t="s">
        <v>892</v>
      </c>
    </row>
    <row r="12" spans="1:7" x14ac:dyDescent="0.25">
      <c r="G12" s="123"/>
    </row>
    <row r="13" spans="1:7" x14ac:dyDescent="0.25">
      <c r="B13" s="157" t="s">
        <v>782</v>
      </c>
      <c r="C13" s="152" t="s">
        <v>69</v>
      </c>
      <c r="D13" s="153">
        <f>summary!D36</f>
        <v>9300</v>
      </c>
    </row>
    <row r="14" spans="1:7" x14ac:dyDescent="0.25">
      <c r="B14" s="157" t="s">
        <v>779</v>
      </c>
      <c r="C14" s="152" t="s">
        <v>69</v>
      </c>
      <c r="D14" s="153">
        <f>SUM(D15:D18)</f>
        <v>880</v>
      </c>
      <c r="E14" s="119"/>
    </row>
    <row r="15" spans="1:7" x14ac:dyDescent="0.25">
      <c r="B15" s="149" t="str">
        <f>B5</f>
        <v>Ataguía - primer etapa</v>
      </c>
      <c r="C15" s="152" t="s">
        <v>69</v>
      </c>
      <c r="D15" s="153">
        <v>0</v>
      </c>
      <c r="E15" s="119"/>
      <c r="F15" s="109" t="s">
        <v>647</v>
      </c>
    </row>
    <row r="16" spans="1:7" x14ac:dyDescent="0.25">
      <c r="B16" s="149" t="str">
        <f>B6</f>
        <v>Ataguía - segunda etapa</v>
      </c>
      <c r="C16" s="152" t="s">
        <v>69</v>
      </c>
      <c r="D16" s="153">
        <f>2/3*summary!D45*D33*E33</f>
        <v>880</v>
      </c>
      <c r="E16" s="119"/>
      <c r="F16" s="109" t="s">
        <v>642</v>
      </c>
    </row>
    <row r="17" spans="2:6" x14ac:dyDescent="0.25">
      <c r="B17" s="154" t="str">
        <f>unit_prices!B15</f>
        <v>Volumen de terraplén compactado en presas de tierra</v>
      </c>
      <c r="C17" s="152" t="s">
        <v>69</v>
      </c>
      <c r="D17" s="153">
        <f>0.7*summary!D46*D34*E34</f>
        <v>0</v>
      </c>
      <c r="E17" s="119"/>
      <c r="F17" s="109" t="s">
        <v>894</v>
      </c>
    </row>
    <row r="18" spans="2:6" x14ac:dyDescent="0.25">
      <c r="B18" s="149" t="str">
        <f>unit_prices!B16</f>
        <v>Volumen del núcleo de arcilla en presas de escollera (enrocado)</v>
      </c>
      <c r="C18" s="152" t="s">
        <v>69</v>
      </c>
      <c r="D18" s="153">
        <v>0</v>
      </c>
      <c r="E18" s="119"/>
      <c r="F18" s="109" t="s">
        <v>893</v>
      </c>
    </row>
    <row r="19" spans="2:6" x14ac:dyDescent="0.25">
      <c r="B19" s="151" t="str">
        <f>unit_prices!B8</f>
        <v>Préstamo (extracción) de suelo</v>
      </c>
      <c r="C19" s="152" t="s">
        <v>69</v>
      </c>
      <c r="D19" s="153">
        <f>ROUNDUP(2/5*summary!D44*D24*E24+0.3*summary!D46*D34*E34+IF(D14-D13&lt;=0,0, D14-D13),-3)</f>
        <v>0</v>
      </c>
      <c r="F19" s="109" t="s">
        <v>895</v>
      </c>
    </row>
    <row r="21" spans="2:6" x14ac:dyDescent="0.25">
      <c r="B21" s="156" t="s">
        <v>778</v>
      </c>
    </row>
    <row r="22" spans="2:6" x14ac:dyDescent="0.25">
      <c r="B22" s="63"/>
    </row>
    <row r="23" spans="2:6" x14ac:dyDescent="0.25">
      <c r="B23" s="151" t="s">
        <v>640</v>
      </c>
      <c r="C23" s="148" t="s">
        <v>644</v>
      </c>
      <c r="D23" s="148" t="s">
        <v>777</v>
      </c>
      <c r="E23" s="148" t="s">
        <v>646</v>
      </c>
    </row>
    <row r="24" spans="2:6" x14ac:dyDescent="0.25">
      <c r="B24" s="149" t="str">
        <f>B5</f>
        <v>Ataguía - primer etapa</v>
      </c>
      <c r="C24" s="152" t="s">
        <v>69</v>
      </c>
      <c r="D24" s="150">
        <v>0.8</v>
      </c>
      <c r="E24" s="150">
        <v>1.1000000000000001</v>
      </c>
    </row>
    <row r="25" spans="2:6" x14ac:dyDescent="0.25">
      <c r="B25" s="149" t="str">
        <f t="shared" ref="B25:B29" si="0">B6</f>
        <v>Ataguía - segunda etapa</v>
      </c>
      <c r="C25" s="152" t="s">
        <v>69</v>
      </c>
      <c r="D25" s="150">
        <v>0.8</v>
      </c>
      <c r="E25" s="150">
        <v>1.1000000000000001</v>
      </c>
    </row>
    <row r="26" spans="2:6" x14ac:dyDescent="0.25">
      <c r="B26" s="149" t="str">
        <f t="shared" si="0"/>
        <v>Volumen de roca en presas de escollera (presa de enrocado)</v>
      </c>
      <c r="C26" s="152" t="s">
        <v>69</v>
      </c>
      <c r="D26" s="150">
        <v>0.85</v>
      </c>
      <c r="E26" s="150">
        <v>1.1000000000000001</v>
      </c>
    </row>
    <row r="27" spans="2:6" x14ac:dyDescent="0.25">
      <c r="B27" s="149" t="str">
        <f>B8</f>
        <v>Filtros y transiciones</v>
      </c>
      <c r="C27" s="152" t="s">
        <v>69</v>
      </c>
      <c r="D27" s="150">
        <v>0.9</v>
      </c>
      <c r="E27" s="150">
        <v>1.1499999999999999</v>
      </c>
    </row>
    <row r="28" spans="2:6" x14ac:dyDescent="0.25">
      <c r="B28" s="149" t="str">
        <f t="shared" si="0"/>
        <v>Volumen de rip-rap de la presa de tierra (protección del talud aguas arriba)</v>
      </c>
      <c r="C28" s="152" t="s">
        <v>69</v>
      </c>
      <c r="D28" s="150">
        <v>0.85</v>
      </c>
      <c r="E28" s="150">
        <v>1.1499999999999999</v>
      </c>
    </row>
    <row r="29" spans="2:6" x14ac:dyDescent="0.25">
      <c r="B29" s="149" t="str">
        <f t="shared" si="0"/>
        <v>Concrete</v>
      </c>
      <c r="C29" s="152" t="s">
        <v>69</v>
      </c>
      <c r="D29" s="150">
        <v>0.85</v>
      </c>
      <c r="E29" s="150">
        <v>1.1499999999999999</v>
      </c>
    </row>
    <row r="30" spans="2:6" x14ac:dyDescent="0.25">
      <c r="B30" s="120"/>
      <c r="D30" s="126"/>
      <c r="E30" s="126"/>
    </row>
    <row r="31" spans="2:6" x14ac:dyDescent="0.25">
      <c r="B31" s="151" t="s">
        <v>641</v>
      </c>
      <c r="C31" s="148" t="s">
        <v>644</v>
      </c>
      <c r="D31" s="148" t="s">
        <v>777</v>
      </c>
      <c r="E31" s="148" t="s">
        <v>646</v>
      </c>
    </row>
    <row r="32" spans="2:6" x14ac:dyDescent="0.25">
      <c r="B32" s="149" t="str">
        <f>B15</f>
        <v>Ataguía - primer etapa</v>
      </c>
      <c r="C32" s="152" t="s">
        <v>69</v>
      </c>
      <c r="D32" s="150">
        <v>1.2</v>
      </c>
      <c r="E32" s="150">
        <v>1.1000000000000001</v>
      </c>
    </row>
    <row r="33" spans="2:6" x14ac:dyDescent="0.25">
      <c r="B33" s="149" t="str">
        <f t="shared" ref="B33:B35" si="1">B16</f>
        <v>Ataguía - segunda etapa</v>
      </c>
      <c r="C33" s="152" t="s">
        <v>69</v>
      </c>
      <c r="D33" s="150">
        <v>1.2</v>
      </c>
      <c r="E33" s="150">
        <v>1.1000000000000001</v>
      </c>
    </row>
    <row r="34" spans="2:6" x14ac:dyDescent="0.25">
      <c r="B34" s="149" t="str">
        <f t="shared" si="1"/>
        <v>Volumen de terraplén compactado en presas de tierra</v>
      </c>
      <c r="C34" s="152" t="s">
        <v>69</v>
      </c>
      <c r="D34" s="150">
        <v>1.2</v>
      </c>
      <c r="E34" s="150">
        <v>1.1000000000000001</v>
      </c>
    </row>
    <row r="35" spans="2:6" x14ac:dyDescent="0.25">
      <c r="B35" s="149" t="str">
        <f t="shared" si="1"/>
        <v>Volumen del núcleo de arcilla en presas de escollera (enrocado)</v>
      </c>
      <c r="C35" s="152" t="s">
        <v>69</v>
      </c>
      <c r="D35" s="150">
        <v>1.2</v>
      </c>
      <c r="E35" s="150">
        <v>1.1000000000000001</v>
      </c>
    </row>
    <row r="38" spans="2:6" x14ac:dyDescent="0.25">
      <c r="C38" s="109" t="s">
        <v>285</v>
      </c>
    </row>
    <row r="40" spans="2:6" x14ac:dyDescent="0.25">
      <c r="C40" s="122" t="s">
        <v>280</v>
      </c>
      <c r="D40" s="124" t="s">
        <v>281</v>
      </c>
    </row>
    <row r="41" spans="2:6" x14ac:dyDescent="0.25">
      <c r="C41" s="109"/>
      <c r="D41" s="123"/>
      <c r="E41" s="122" t="s">
        <v>282</v>
      </c>
      <c r="F41" s="109" t="s">
        <v>283</v>
      </c>
    </row>
    <row r="42" spans="2:6" x14ac:dyDescent="0.25">
      <c r="C42" s="121"/>
      <c r="D42" s="125">
        <f>1/1.2</f>
        <v>0.83333333333333337</v>
      </c>
      <c r="E42" s="121">
        <v>1.1499999999999999</v>
      </c>
      <c r="F42" s="109" t="s">
        <v>284</v>
      </c>
    </row>
    <row r="43" spans="2:6" x14ac:dyDescent="0.25">
      <c r="C43" s="119">
        <f>(0.85+0.75)/2</f>
        <v>0.8</v>
      </c>
      <c r="D43" s="123"/>
      <c r="E43" s="126">
        <v>1.1000000000000001</v>
      </c>
    </row>
    <row r="44" spans="2:6" x14ac:dyDescent="0.25">
      <c r="C44" s="119">
        <f>(0.85+0.75)/2</f>
        <v>0.8</v>
      </c>
      <c r="D44" s="123"/>
      <c r="E44" s="126">
        <v>1.1000000000000001</v>
      </c>
    </row>
    <row r="45" spans="2:6" x14ac:dyDescent="0.25">
      <c r="C45" s="119">
        <v>0.85</v>
      </c>
      <c r="D45" s="123"/>
      <c r="E45" s="126">
        <v>1.1000000000000001</v>
      </c>
    </row>
    <row r="46" spans="2:6" x14ac:dyDescent="0.25">
      <c r="C46" s="119">
        <f>(1+0.8)/2</f>
        <v>0.9</v>
      </c>
      <c r="D46" s="123"/>
      <c r="E46" s="126">
        <v>1.1499999999999999</v>
      </c>
    </row>
    <row r="47" spans="2:6" x14ac:dyDescent="0.25">
      <c r="C47">
        <v>0.85</v>
      </c>
      <c r="D47" s="123"/>
      <c r="E47" s="126">
        <v>1.1499999999999999</v>
      </c>
    </row>
    <row r="48" spans="2:6" x14ac:dyDescent="0.25">
      <c r="C48">
        <v>0.85</v>
      </c>
      <c r="D48" s="123"/>
      <c r="E48" s="126">
        <v>1.1499999999999999</v>
      </c>
    </row>
    <row r="49" spans="3:5" x14ac:dyDescent="0.25">
      <c r="D49" s="123"/>
    </row>
    <row r="50" spans="3:5" x14ac:dyDescent="0.25">
      <c r="D50" s="123">
        <v>1.3</v>
      </c>
      <c r="E50" s="126">
        <v>1.1000000000000001</v>
      </c>
    </row>
    <row r="51" spans="3:5" x14ac:dyDescent="0.25">
      <c r="C51" s="119">
        <f>(1.15+1.2)/2</f>
        <v>1.1749999999999998</v>
      </c>
    </row>
    <row r="52" spans="3:5" x14ac:dyDescent="0.25">
      <c r="C52" s="119">
        <f>(1.15+1.2)/2</f>
        <v>1.1749999999999998</v>
      </c>
    </row>
    <row r="53" spans="3:5" x14ac:dyDescent="0.25">
      <c r="C53" s="119">
        <v>1.2</v>
      </c>
    </row>
    <row r="54" spans="3:5" x14ac:dyDescent="0.25">
      <c r="C54" s="119">
        <v>1.2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374"/>
  <sheetViews>
    <sheetView zoomScaleNormal="100" workbookViewId="0">
      <selection activeCell="C36" sqref="C36"/>
    </sheetView>
  </sheetViews>
  <sheetFormatPr defaultColWidth="11.44140625" defaultRowHeight="10.199999999999999" x14ac:dyDescent="0.2"/>
  <cols>
    <col min="1" max="1" width="13.5546875" style="5" customWidth="1"/>
    <col min="2" max="2" width="73.44140625" style="5" bestFit="1" customWidth="1"/>
    <col min="3" max="3" width="12.109375" style="4" customWidth="1"/>
    <col min="4" max="4" width="11.33203125" style="5" customWidth="1"/>
    <col min="5" max="5" width="15.88671875" style="5" bestFit="1" customWidth="1"/>
    <col min="6" max="6" width="14.88671875" style="5" customWidth="1"/>
    <col min="7" max="7" width="4.88671875" style="81" bestFit="1" customWidth="1"/>
    <col min="8" max="8" width="15.44140625" style="74" bestFit="1" customWidth="1"/>
    <col min="9" max="9" width="14.5546875" style="74" customWidth="1"/>
    <col min="10" max="16384" width="11.44140625" style="5"/>
  </cols>
  <sheetData>
    <row r="1" spans="1:9" s="1" customFormat="1" ht="13.2" x14ac:dyDescent="0.25">
      <c r="A1" s="180" t="s">
        <v>457</v>
      </c>
      <c r="B1" s="180"/>
      <c r="C1" s="180"/>
      <c r="D1" s="180"/>
      <c r="E1" s="180"/>
      <c r="F1" s="180"/>
      <c r="G1" s="80"/>
      <c r="H1" s="77"/>
      <c r="I1" s="77"/>
    </row>
    <row r="2" spans="1:9" s="1" customFormat="1" ht="13.2" x14ac:dyDescent="0.25">
      <c r="A2" s="180" t="s">
        <v>459</v>
      </c>
      <c r="B2" s="180"/>
      <c r="C2" s="180"/>
      <c r="D2" s="180"/>
      <c r="E2" s="180"/>
      <c r="F2" s="180"/>
      <c r="G2" s="80"/>
      <c r="H2" s="77"/>
      <c r="I2" s="77"/>
    </row>
    <row r="3" spans="1:9" ht="13.8" thickBot="1" x14ac:dyDescent="0.3">
      <c r="A3" s="62"/>
      <c r="B3" s="7"/>
      <c r="C3" s="8"/>
      <c r="D3" s="9"/>
      <c r="E3" s="9"/>
      <c r="F3" s="9"/>
      <c r="H3" s="5"/>
      <c r="I3" s="5"/>
    </row>
    <row r="4" spans="1:9" ht="12" customHeight="1" x14ac:dyDescent="0.2">
      <c r="A4" s="181" t="s">
        <v>455</v>
      </c>
      <c r="B4" s="184" t="s">
        <v>0</v>
      </c>
      <c r="C4" s="184" t="s">
        <v>451</v>
      </c>
      <c r="D4" s="187" t="s">
        <v>450</v>
      </c>
      <c r="E4" s="188"/>
      <c r="F4" s="10" t="s">
        <v>458</v>
      </c>
      <c r="G4" s="82"/>
      <c r="H4" s="155" t="s">
        <v>703</v>
      </c>
      <c r="I4" s="5"/>
    </row>
    <row r="5" spans="1:9" ht="12" customHeight="1" x14ac:dyDescent="0.2">
      <c r="A5" s="182"/>
      <c r="B5" s="185"/>
      <c r="C5" s="185"/>
      <c r="D5" s="189" t="s">
        <v>460</v>
      </c>
      <c r="E5" s="190" t="s">
        <v>447</v>
      </c>
      <c r="F5" s="191" t="s">
        <v>448</v>
      </c>
      <c r="G5" s="82"/>
      <c r="H5" s="5"/>
      <c r="I5" s="5"/>
    </row>
    <row r="6" spans="1:9" ht="10.8" thickBot="1" x14ac:dyDescent="0.25">
      <c r="A6" s="183"/>
      <c r="B6" s="186"/>
      <c r="C6" s="186"/>
      <c r="D6" s="186"/>
      <c r="E6" s="186"/>
      <c r="F6" s="192"/>
      <c r="G6" s="83"/>
      <c r="H6" s="5"/>
      <c r="I6" s="5"/>
    </row>
    <row r="7" spans="1:9" s="2" customFormat="1" ht="12" x14ac:dyDescent="0.25">
      <c r="A7" s="85" t="s">
        <v>1</v>
      </c>
      <c r="B7" s="18" t="s">
        <v>648</v>
      </c>
      <c r="C7" s="43"/>
      <c r="D7" s="86"/>
      <c r="E7" s="45"/>
      <c r="F7" s="46">
        <f>SUM(F64:F65)</f>
        <v>0</v>
      </c>
      <c r="G7" s="89"/>
    </row>
    <row r="8" spans="1:9" s="3" customFormat="1" ht="12" x14ac:dyDescent="0.25">
      <c r="A8" s="20" t="s">
        <v>2</v>
      </c>
      <c r="B8" s="57" t="s">
        <v>649</v>
      </c>
      <c r="C8" s="21"/>
      <c r="D8" s="22"/>
      <c r="E8" s="30"/>
      <c r="F8" s="24">
        <f>SUM(F9,F16,F25,F26)</f>
        <v>0</v>
      </c>
      <c r="G8" s="89"/>
    </row>
    <row r="9" spans="1:9" s="3" customFormat="1" ht="11.4" x14ac:dyDescent="0.25">
      <c r="A9" s="31" t="s">
        <v>3</v>
      </c>
      <c r="B9" s="58" t="s">
        <v>650</v>
      </c>
      <c r="C9" s="87" t="s">
        <v>10</v>
      </c>
      <c r="D9" s="25"/>
      <c r="E9" s="26"/>
      <c r="F9" s="24">
        <f>SUM(F10:F15)</f>
        <v>0</v>
      </c>
      <c r="G9" s="89"/>
      <c r="H9" s="74"/>
      <c r="I9" s="74"/>
    </row>
    <row r="10" spans="1:9" s="3" customFormat="1" ht="11.4" x14ac:dyDescent="0.25">
      <c r="A10" s="31" t="s">
        <v>5</v>
      </c>
      <c r="B10" s="58" t="s">
        <v>651</v>
      </c>
      <c r="C10" s="21" t="s">
        <v>906</v>
      </c>
      <c r="D10" s="88">
        <f>iocosts!B153</f>
        <v>0</v>
      </c>
      <c r="E10" s="114">
        <f>unit_prices!I6</f>
        <v>500000</v>
      </c>
      <c r="F10" s="24">
        <f t="shared" ref="F10:F24" si="0">D10*E10/1000</f>
        <v>0</v>
      </c>
      <c r="G10" s="89"/>
      <c r="H10" s="74"/>
      <c r="I10" s="74"/>
    </row>
    <row r="11" spans="1:9" s="3" customFormat="1" ht="11.4" x14ac:dyDescent="0.25">
      <c r="A11" s="31" t="s">
        <v>7</v>
      </c>
      <c r="B11" s="58" t="s">
        <v>652</v>
      </c>
      <c r="C11" s="21" t="s">
        <v>6</v>
      </c>
      <c r="D11" s="25"/>
      <c r="E11" s="26"/>
      <c r="F11" s="24">
        <f t="shared" si="0"/>
        <v>0</v>
      </c>
      <c r="G11" s="89"/>
      <c r="H11" s="74"/>
      <c r="I11" s="74"/>
    </row>
    <row r="12" spans="1:9" s="3" customFormat="1" ht="11.4" x14ac:dyDescent="0.25">
      <c r="A12" s="31" t="s">
        <v>8</v>
      </c>
      <c r="B12" s="58" t="s">
        <v>653</v>
      </c>
      <c r="C12" s="21" t="s">
        <v>6</v>
      </c>
      <c r="D12" s="25"/>
      <c r="E12" s="26"/>
      <c r="F12" s="24">
        <f t="shared" si="0"/>
        <v>0</v>
      </c>
      <c r="G12" s="89"/>
      <c r="H12" s="74"/>
      <c r="I12" s="74"/>
    </row>
    <row r="13" spans="1:9" s="3" customFormat="1" ht="11.4" x14ac:dyDescent="0.25">
      <c r="A13" s="31" t="s">
        <v>9</v>
      </c>
      <c r="B13" s="58" t="s">
        <v>654</v>
      </c>
      <c r="C13" s="21" t="s">
        <v>10</v>
      </c>
      <c r="D13" s="25"/>
      <c r="E13" s="26"/>
      <c r="F13" s="24">
        <f t="shared" si="0"/>
        <v>0</v>
      </c>
      <c r="G13" s="89"/>
      <c r="H13" s="74"/>
      <c r="I13" s="74"/>
    </row>
    <row r="14" spans="1:9" s="3" customFormat="1" ht="11.4" x14ac:dyDescent="0.25">
      <c r="A14" s="32" t="s">
        <v>11</v>
      </c>
      <c r="B14" s="58" t="s">
        <v>655</v>
      </c>
      <c r="C14" s="21" t="s">
        <v>10</v>
      </c>
      <c r="D14" s="22"/>
      <c r="E14" s="30"/>
      <c r="F14" s="24">
        <f t="shared" si="0"/>
        <v>0</v>
      </c>
      <c r="G14" s="89"/>
      <c r="H14" s="74"/>
      <c r="I14" s="74"/>
    </row>
    <row r="15" spans="1:9" s="3" customFormat="1" ht="11.4" x14ac:dyDescent="0.25">
      <c r="A15" s="31" t="s">
        <v>12</v>
      </c>
      <c r="B15" s="58" t="s">
        <v>656</v>
      </c>
      <c r="C15" s="21" t="s">
        <v>10</v>
      </c>
      <c r="D15" s="22"/>
      <c r="E15" s="30"/>
      <c r="F15" s="24">
        <f t="shared" si="0"/>
        <v>0</v>
      </c>
      <c r="G15" s="89"/>
      <c r="H15" s="74"/>
      <c r="I15" s="74"/>
    </row>
    <row r="16" spans="1:9" s="3" customFormat="1" ht="11.4" x14ac:dyDescent="0.25">
      <c r="A16" s="20" t="s">
        <v>13</v>
      </c>
      <c r="B16" s="58" t="s">
        <v>657</v>
      </c>
      <c r="C16" s="21" t="s">
        <v>10</v>
      </c>
      <c r="D16" s="22"/>
      <c r="E16" s="30"/>
      <c r="F16" s="24">
        <f>SUM(F17:F24)</f>
        <v>0</v>
      </c>
      <c r="G16" s="89"/>
      <c r="H16" s="74"/>
      <c r="I16" s="74"/>
    </row>
    <row r="17" spans="1:9" s="3" customFormat="1" ht="11.4" x14ac:dyDescent="0.25">
      <c r="A17" s="20" t="s">
        <v>14</v>
      </c>
      <c r="B17" s="58" t="s">
        <v>651</v>
      </c>
      <c r="C17" s="21" t="s">
        <v>906</v>
      </c>
      <c r="D17" s="88">
        <f>iocosts!B152</f>
        <v>0</v>
      </c>
      <c r="E17" s="114">
        <f>unit_prices!I5</f>
        <v>148047</v>
      </c>
      <c r="F17" s="24">
        <f t="shared" si="0"/>
        <v>0</v>
      </c>
      <c r="G17" s="89"/>
      <c r="H17" s="74"/>
      <c r="I17" s="74"/>
    </row>
    <row r="18" spans="1:9" s="3" customFormat="1" ht="11.4" x14ac:dyDescent="0.25">
      <c r="A18" s="20" t="s">
        <v>15</v>
      </c>
      <c r="B18" s="58" t="s">
        <v>652</v>
      </c>
      <c r="C18" s="21" t="s">
        <v>6</v>
      </c>
      <c r="D18" s="25"/>
      <c r="E18" s="25"/>
      <c r="F18" s="24">
        <f t="shared" si="0"/>
        <v>0</v>
      </c>
      <c r="G18" s="89"/>
      <c r="H18" s="74"/>
      <c r="I18" s="74"/>
    </row>
    <row r="19" spans="1:9" s="2" customFormat="1" ht="11.4" x14ac:dyDescent="0.25">
      <c r="A19" s="20" t="s">
        <v>16</v>
      </c>
      <c r="B19" s="58" t="s">
        <v>653</v>
      </c>
      <c r="C19" s="21" t="s">
        <v>906</v>
      </c>
      <c r="D19" s="88">
        <f>iocosts!B155</f>
        <v>0</v>
      </c>
      <c r="E19" s="114">
        <f>unit_prices!I7</f>
        <v>0</v>
      </c>
      <c r="F19" s="24">
        <f t="shared" si="0"/>
        <v>0</v>
      </c>
      <c r="G19" s="89"/>
      <c r="H19" s="71"/>
      <c r="I19" s="74"/>
    </row>
    <row r="20" spans="1:9" s="2" customFormat="1" ht="11.4" x14ac:dyDescent="0.25">
      <c r="A20" s="20" t="s">
        <v>17</v>
      </c>
      <c r="B20" s="58" t="s">
        <v>659</v>
      </c>
      <c r="C20" s="87" t="s">
        <v>4</v>
      </c>
      <c r="D20" s="26"/>
      <c r="E20" s="26"/>
      <c r="F20" s="24">
        <f t="shared" si="0"/>
        <v>0</v>
      </c>
      <c r="G20" s="89"/>
      <c r="H20" s="71"/>
      <c r="I20" s="71"/>
    </row>
    <row r="21" spans="1:9" s="2" customFormat="1" ht="11.4" x14ac:dyDescent="0.25">
      <c r="A21" s="20" t="s">
        <v>18</v>
      </c>
      <c r="B21" s="58" t="s">
        <v>658</v>
      </c>
      <c r="C21" s="21" t="s">
        <v>6</v>
      </c>
      <c r="D21" s="25"/>
      <c r="E21" s="26"/>
      <c r="F21" s="24">
        <f t="shared" si="0"/>
        <v>0</v>
      </c>
      <c r="G21" s="89"/>
      <c r="H21" s="71"/>
      <c r="I21" s="71"/>
    </row>
    <row r="22" spans="1:9" s="3" customFormat="1" ht="11.4" x14ac:dyDescent="0.25">
      <c r="A22" s="20" t="s">
        <v>19</v>
      </c>
      <c r="B22" s="58" t="s">
        <v>654</v>
      </c>
      <c r="C22" s="21" t="s">
        <v>10</v>
      </c>
      <c r="D22" s="25"/>
      <c r="E22" s="26"/>
      <c r="F22" s="24">
        <f t="shared" si="0"/>
        <v>0</v>
      </c>
      <c r="G22" s="89"/>
      <c r="H22" s="74"/>
      <c r="I22" s="71"/>
    </row>
    <row r="23" spans="1:9" s="3" customFormat="1" ht="11.4" x14ac:dyDescent="0.25">
      <c r="A23" s="20" t="s">
        <v>20</v>
      </c>
      <c r="B23" s="58" t="s">
        <v>655</v>
      </c>
      <c r="C23" s="21" t="s">
        <v>10</v>
      </c>
      <c r="D23" s="22"/>
      <c r="E23" s="30"/>
      <c r="F23" s="24">
        <f t="shared" si="0"/>
        <v>0</v>
      </c>
      <c r="G23" s="89"/>
      <c r="H23" s="74"/>
      <c r="I23" s="74"/>
    </row>
    <row r="24" spans="1:9" s="3" customFormat="1" ht="11.4" x14ac:dyDescent="0.25">
      <c r="A24" s="20" t="s">
        <v>21</v>
      </c>
      <c r="B24" s="58" t="s">
        <v>656</v>
      </c>
      <c r="C24" s="21" t="s">
        <v>10</v>
      </c>
      <c r="D24" s="22"/>
      <c r="E24" s="30"/>
      <c r="F24" s="24">
        <f t="shared" si="0"/>
        <v>0</v>
      </c>
      <c r="G24" s="89"/>
      <c r="H24" s="74"/>
      <c r="I24" s="74"/>
    </row>
    <row r="25" spans="1:9" s="2" customFormat="1" ht="11.4" x14ac:dyDescent="0.25">
      <c r="A25" s="20" t="s">
        <v>22</v>
      </c>
      <c r="B25" s="58" t="s">
        <v>661</v>
      </c>
      <c r="C25" s="21" t="s">
        <v>23</v>
      </c>
      <c r="D25" s="98">
        <v>10</v>
      </c>
      <c r="E25" s="99">
        <f>(F16+F9)*1000</f>
        <v>0</v>
      </c>
      <c r="F25" s="24">
        <f>D25/100*E25/1000</f>
        <v>0</v>
      </c>
      <c r="G25" s="89"/>
      <c r="H25" s="71"/>
      <c r="I25" s="74"/>
    </row>
    <row r="26" spans="1:9" s="3" customFormat="1" ht="11.4" x14ac:dyDescent="0.25">
      <c r="A26" s="20" t="s">
        <v>24</v>
      </c>
      <c r="B26" s="58" t="s">
        <v>662</v>
      </c>
      <c r="C26" s="21" t="s">
        <v>10</v>
      </c>
      <c r="D26" s="22"/>
      <c r="E26" s="30"/>
      <c r="F26" s="23">
        <f>D26*E26/1000</f>
        <v>0</v>
      </c>
      <c r="G26" s="89"/>
      <c r="H26" s="74"/>
      <c r="I26" s="71"/>
    </row>
    <row r="27" spans="1:9" s="3" customFormat="1" ht="12" x14ac:dyDescent="0.25">
      <c r="A27" s="20" t="s">
        <v>25</v>
      </c>
      <c r="B27" s="57" t="s">
        <v>660</v>
      </c>
      <c r="C27" s="21"/>
      <c r="D27" s="22"/>
      <c r="E27" s="30"/>
      <c r="F27" s="24">
        <f>SUM(F28:F33,F39:F40)</f>
        <v>0</v>
      </c>
      <c r="G27" s="89"/>
      <c r="H27" s="74"/>
      <c r="I27" s="74"/>
    </row>
    <row r="28" spans="1:9" s="3" customFormat="1" ht="11.4" x14ac:dyDescent="0.25">
      <c r="A28" s="20" t="s">
        <v>26</v>
      </c>
      <c r="B28" s="58" t="s">
        <v>663</v>
      </c>
      <c r="C28" s="21" t="s">
        <v>27</v>
      </c>
      <c r="D28" s="88">
        <f>iocosts!B156</f>
        <v>0</v>
      </c>
      <c r="E28" s="114">
        <f>unit_prices!I8</f>
        <v>1400000</v>
      </c>
      <c r="F28" s="24">
        <f>D28*E28/1000</f>
        <v>0</v>
      </c>
      <c r="G28" s="89"/>
      <c r="H28" s="74"/>
      <c r="I28" s="74"/>
    </row>
    <row r="29" spans="1:9" s="3" customFormat="1" ht="11.4" x14ac:dyDescent="0.25">
      <c r="A29" s="20" t="s">
        <v>28</v>
      </c>
      <c r="B29" s="58" t="s">
        <v>664</v>
      </c>
      <c r="C29" s="21" t="s">
        <v>27</v>
      </c>
      <c r="D29" s="88">
        <f>iocosts!B157</f>
        <v>0</v>
      </c>
      <c r="E29" s="114">
        <f>unit_prices!I9</f>
        <v>2800000</v>
      </c>
      <c r="F29" s="24">
        <f t="shared" ref="F29:F32" si="1">D29*E29/1000</f>
        <v>0</v>
      </c>
      <c r="G29" s="89"/>
      <c r="H29" s="74"/>
      <c r="I29" s="74"/>
    </row>
    <row r="30" spans="1:9" s="3" customFormat="1" ht="11.4" x14ac:dyDescent="0.25">
      <c r="A30" s="31" t="s">
        <v>29</v>
      </c>
      <c r="B30" s="58" t="s">
        <v>665</v>
      </c>
      <c r="C30" s="21" t="s">
        <v>279</v>
      </c>
      <c r="D30" s="88">
        <f>iocosts!B158</f>
        <v>0</v>
      </c>
      <c r="E30" s="114">
        <f>unit_prices!I10</f>
        <v>35000</v>
      </c>
      <c r="F30" s="24">
        <f t="shared" si="1"/>
        <v>0</v>
      </c>
      <c r="G30" s="89"/>
      <c r="H30" s="74"/>
      <c r="I30" s="74"/>
    </row>
    <row r="31" spans="1:9" s="3" customFormat="1" ht="11.4" x14ac:dyDescent="0.25">
      <c r="A31" s="31" t="s">
        <v>30</v>
      </c>
      <c r="B31" s="58" t="s">
        <v>666</v>
      </c>
      <c r="C31" s="21" t="s">
        <v>27</v>
      </c>
      <c r="D31" s="88">
        <f>iocosts!B159</f>
        <v>0</v>
      </c>
      <c r="E31" s="114">
        <f>unit_prices!I11</f>
        <v>100000</v>
      </c>
      <c r="F31" s="24">
        <f t="shared" si="1"/>
        <v>0</v>
      </c>
      <c r="G31" s="89"/>
      <c r="H31" s="74"/>
      <c r="I31" s="74"/>
    </row>
    <row r="32" spans="1:9" s="3" customFormat="1" ht="11.4" x14ac:dyDescent="0.25">
      <c r="A32" s="31" t="s">
        <v>31</v>
      </c>
      <c r="B32" s="58" t="s">
        <v>667</v>
      </c>
      <c r="C32" s="21" t="s">
        <v>10</v>
      </c>
      <c r="D32" s="22"/>
      <c r="E32" s="30"/>
      <c r="F32" s="24">
        <f t="shared" si="1"/>
        <v>0</v>
      </c>
      <c r="G32" s="89"/>
      <c r="H32" s="74"/>
      <c r="I32" s="74"/>
    </row>
    <row r="33" spans="1:9" s="3" customFormat="1" ht="11.4" x14ac:dyDescent="0.25">
      <c r="A33" s="31" t="s">
        <v>32</v>
      </c>
      <c r="B33" s="58" t="s">
        <v>668</v>
      </c>
      <c r="C33" s="21" t="s">
        <v>10</v>
      </c>
      <c r="D33" s="22"/>
      <c r="E33" s="30"/>
      <c r="F33" s="24">
        <f>SUM(F34:F38)</f>
        <v>0</v>
      </c>
      <c r="G33" s="89"/>
      <c r="I33" s="74"/>
    </row>
    <row r="34" spans="1:9" s="3" customFormat="1" ht="11.4" x14ac:dyDescent="0.25">
      <c r="A34" s="31" t="s">
        <v>33</v>
      </c>
      <c r="B34" s="58" t="s">
        <v>902</v>
      </c>
      <c r="C34" s="21" t="s">
        <v>908</v>
      </c>
      <c r="D34" s="88">
        <f>iocosts!B160</f>
        <v>0</v>
      </c>
      <c r="E34" s="114">
        <f>unit_prices!I12</f>
        <v>10000</v>
      </c>
      <c r="F34" s="24">
        <f t="shared" ref="F34:F40" si="2">D34*E34/1000</f>
        <v>0</v>
      </c>
      <c r="G34" s="89"/>
      <c r="I34" s="74"/>
    </row>
    <row r="35" spans="1:9" s="3" customFormat="1" ht="11.4" x14ac:dyDescent="0.25">
      <c r="A35" s="31" t="s">
        <v>34</v>
      </c>
      <c r="B35" s="58" t="s">
        <v>903</v>
      </c>
      <c r="C35" s="21" t="s">
        <v>908</v>
      </c>
      <c r="D35" s="25"/>
      <c r="E35" s="26"/>
      <c r="F35" s="24">
        <f t="shared" si="2"/>
        <v>0</v>
      </c>
      <c r="G35" s="89"/>
      <c r="I35" s="74"/>
    </row>
    <row r="36" spans="1:9" s="3" customFormat="1" ht="11.4" x14ac:dyDescent="0.25">
      <c r="A36" s="31" t="s">
        <v>35</v>
      </c>
      <c r="B36" s="58" t="s">
        <v>904</v>
      </c>
      <c r="C36" s="21" t="s">
        <v>908</v>
      </c>
      <c r="D36" s="88">
        <f>iocosts!B161</f>
        <v>0</v>
      </c>
      <c r="E36" s="114">
        <f>unit_prices!I13</f>
        <v>12500</v>
      </c>
      <c r="F36" s="24">
        <f t="shared" si="2"/>
        <v>0</v>
      </c>
      <c r="G36" s="89"/>
      <c r="I36" s="74"/>
    </row>
    <row r="37" spans="1:9" s="3" customFormat="1" ht="11.4" x14ac:dyDescent="0.25">
      <c r="A37" s="31" t="s">
        <v>36</v>
      </c>
      <c r="B37" s="58" t="s">
        <v>655</v>
      </c>
      <c r="C37" s="21" t="s">
        <v>10</v>
      </c>
      <c r="D37" s="22"/>
      <c r="E37" s="30"/>
      <c r="F37" s="24">
        <f t="shared" si="2"/>
        <v>0</v>
      </c>
      <c r="G37" s="89"/>
      <c r="H37" s="74"/>
      <c r="I37" s="74"/>
    </row>
    <row r="38" spans="1:9" s="3" customFormat="1" ht="11.4" x14ac:dyDescent="0.25">
      <c r="A38" s="31" t="s">
        <v>37</v>
      </c>
      <c r="B38" s="58" t="s">
        <v>656</v>
      </c>
      <c r="C38" s="21" t="s">
        <v>10</v>
      </c>
      <c r="D38" s="22"/>
      <c r="E38" s="30"/>
      <c r="F38" s="24">
        <f t="shared" si="2"/>
        <v>0</v>
      </c>
      <c r="G38" s="89"/>
      <c r="H38" s="74"/>
      <c r="I38" s="74"/>
    </row>
    <row r="39" spans="1:9" s="3" customFormat="1" ht="11.4" x14ac:dyDescent="0.25">
      <c r="A39" s="31" t="s">
        <v>38</v>
      </c>
      <c r="B39" s="58" t="s">
        <v>669</v>
      </c>
      <c r="C39" s="21" t="s">
        <v>10</v>
      </c>
      <c r="D39" s="22"/>
      <c r="E39" s="30"/>
      <c r="F39" s="24">
        <f t="shared" si="2"/>
        <v>0</v>
      </c>
      <c r="G39" s="89"/>
      <c r="H39" s="74"/>
      <c r="I39" s="74"/>
    </row>
    <row r="40" spans="1:9" s="3" customFormat="1" ht="11.4" x14ac:dyDescent="0.25">
      <c r="A40" s="31" t="s">
        <v>39</v>
      </c>
      <c r="B40" s="58" t="s">
        <v>662</v>
      </c>
      <c r="C40" s="21" t="s">
        <v>10</v>
      </c>
      <c r="D40" s="22"/>
      <c r="E40" s="30"/>
      <c r="F40" s="24">
        <f t="shared" si="2"/>
        <v>0</v>
      </c>
      <c r="G40" s="89"/>
      <c r="H40" s="74"/>
      <c r="I40" s="74"/>
    </row>
    <row r="41" spans="1:9" s="3" customFormat="1" ht="12" x14ac:dyDescent="0.25">
      <c r="A41" s="33" t="s">
        <v>40</v>
      </c>
      <c r="B41" s="57" t="s">
        <v>670</v>
      </c>
      <c r="C41" s="21" t="s">
        <v>10</v>
      </c>
      <c r="D41" s="30"/>
      <c r="E41" s="30"/>
      <c r="F41" s="24">
        <f>SUM(F42,F43,F51,F58,F62,F63)</f>
        <v>0</v>
      </c>
      <c r="G41" s="89"/>
      <c r="H41" s="74"/>
      <c r="I41" s="74"/>
    </row>
    <row r="42" spans="1:9" s="3" customFormat="1" ht="12" x14ac:dyDescent="0.25">
      <c r="A42" s="33" t="s">
        <v>41</v>
      </c>
      <c r="B42" s="57" t="s">
        <v>671</v>
      </c>
      <c r="C42" s="21" t="s">
        <v>10</v>
      </c>
      <c r="D42" s="22"/>
      <c r="E42" s="30"/>
      <c r="F42" s="24">
        <f t="shared" ref="F42" si="3">D42*E42/1000</f>
        <v>0</v>
      </c>
      <c r="G42" s="89"/>
      <c r="H42" s="74"/>
      <c r="I42" s="74"/>
    </row>
    <row r="43" spans="1:9" s="3" customFormat="1" ht="12" x14ac:dyDescent="0.25">
      <c r="A43" s="33" t="s">
        <v>42</v>
      </c>
      <c r="B43" s="57" t="s">
        <v>672</v>
      </c>
      <c r="C43" s="21" t="s">
        <v>10</v>
      </c>
      <c r="D43" s="22"/>
      <c r="E43" s="30"/>
      <c r="F43" s="24">
        <f>SUM(F44:F50)</f>
        <v>0</v>
      </c>
      <c r="G43" s="89"/>
      <c r="H43" s="74"/>
      <c r="I43" s="74"/>
    </row>
    <row r="44" spans="1:9" s="3" customFormat="1" ht="11.4" x14ac:dyDescent="0.25">
      <c r="A44" s="33" t="s">
        <v>43</v>
      </c>
      <c r="B44" s="58" t="s">
        <v>673</v>
      </c>
      <c r="C44" s="21" t="s">
        <v>906</v>
      </c>
      <c r="D44" s="88">
        <f>iocosts!B154</f>
        <v>0</v>
      </c>
      <c r="E44" s="114">
        <f>unit_prices!I14</f>
        <v>500000</v>
      </c>
      <c r="F44" s="24">
        <f t="shared" ref="F44:F62" si="4">D44*E44/1000</f>
        <v>0</v>
      </c>
      <c r="G44" s="89"/>
      <c r="H44" s="74"/>
      <c r="I44" s="74"/>
    </row>
    <row r="45" spans="1:9" s="3" customFormat="1" ht="11.4" x14ac:dyDescent="0.25">
      <c r="A45" s="33" t="s">
        <v>44</v>
      </c>
      <c r="B45" s="58" t="s">
        <v>653</v>
      </c>
      <c r="C45" s="21" t="s">
        <v>10</v>
      </c>
      <c r="D45" s="22"/>
      <c r="E45" s="30"/>
      <c r="F45" s="24">
        <f>D45*E45/1000</f>
        <v>0</v>
      </c>
      <c r="G45" s="89"/>
      <c r="H45" s="74"/>
      <c r="I45" s="74"/>
    </row>
    <row r="46" spans="1:9" s="3" customFormat="1" ht="11.4" x14ac:dyDescent="0.25">
      <c r="A46" s="33" t="s">
        <v>45</v>
      </c>
      <c r="B46" s="58" t="s">
        <v>674</v>
      </c>
      <c r="C46" s="21" t="s">
        <v>10</v>
      </c>
      <c r="D46" s="22"/>
      <c r="E46" s="30"/>
      <c r="F46" s="24">
        <f t="shared" si="4"/>
        <v>0</v>
      </c>
      <c r="G46" s="89"/>
      <c r="H46" s="74"/>
      <c r="I46" s="74"/>
    </row>
    <row r="47" spans="1:9" s="3" customFormat="1" ht="11.4" x14ac:dyDescent="0.25">
      <c r="A47" s="33" t="s">
        <v>46</v>
      </c>
      <c r="B47" s="58" t="s">
        <v>675</v>
      </c>
      <c r="C47" s="21" t="s">
        <v>10</v>
      </c>
      <c r="D47" s="22"/>
      <c r="E47" s="30"/>
      <c r="F47" s="24">
        <f t="shared" si="4"/>
        <v>0</v>
      </c>
      <c r="G47" s="89"/>
      <c r="H47" s="74"/>
      <c r="I47" s="74"/>
    </row>
    <row r="48" spans="1:9" s="3" customFormat="1" ht="11.4" x14ac:dyDescent="0.25">
      <c r="A48" s="33" t="s">
        <v>47</v>
      </c>
      <c r="B48" s="58" t="s">
        <v>676</v>
      </c>
      <c r="C48" s="21" t="s">
        <v>10</v>
      </c>
      <c r="D48" s="22"/>
      <c r="E48" s="30"/>
      <c r="F48" s="24">
        <f t="shared" si="4"/>
        <v>0</v>
      </c>
      <c r="G48" s="89"/>
      <c r="H48" s="74"/>
      <c r="I48" s="74"/>
    </row>
    <row r="49" spans="1:9" s="3" customFormat="1" ht="11.4" x14ac:dyDescent="0.25">
      <c r="A49" s="33" t="s">
        <v>48</v>
      </c>
      <c r="B49" s="58" t="s">
        <v>677</v>
      </c>
      <c r="C49" s="21" t="s">
        <v>10</v>
      </c>
      <c r="D49" s="22"/>
      <c r="E49" s="30"/>
      <c r="F49" s="24">
        <f t="shared" si="4"/>
        <v>0</v>
      </c>
      <c r="G49" s="89"/>
      <c r="H49" s="74"/>
      <c r="I49" s="74"/>
    </row>
    <row r="50" spans="1:9" s="3" customFormat="1" ht="11.4" x14ac:dyDescent="0.25">
      <c r="A50" s="33" t="s">
        <v>49</v>
      </c>
      <c r="B50" s="58" t="s">
        <v>656</v>
      </c>
      <c r="C50" s="21" t="s">
        <v>10</v>
      </c>
      <c r="D50" s="22"/>
      <c r="E50" s="30"/>
      <c r="F50" s="24">
        <f t="shared" si="4"/>
        <v>0</v>
      </c>
      <c r="G50" s="89"/>
      <c r="H50" s="74"/>
      <c r="I50" s="74"/>
    </row>
    <row r="51" spans="1:9" s="3" customFormat="1" ht="12" x14ac:dyDescent="0.25">
      <c r="A51" s="33" t="s">
        <v>50</v>
      </c>
      <c r="B51" s="57" t="s">
        <v>678</v>
      </c>
      <c r="C51" s="21" t="s">
        <v>10</v>
      </c>
      <c r="D51" s="22"/>
      <c r="E51" s="30"/>
      <c r="F51" s="24">
        <f>SUM(F52:F57)</f>
        <v>0</v>
      </c>
      <c r="G51" s="89"/>
      <c r="H51" s="74"/>
      <c r="I51" s="74"/>
    </row>
    <row r="52" spans="1:9" s="3" customFormat="1" ht="11.4" x14ac:dyDescent="0.25">
      <c r="A52" s="33" t="s">
        <v>51</v>
      </c>
      <c r="B52" s="58" t="s">
        <v>658</v>
      </c>
      <c r="C52" s="21" t="s">
        <v>10</v>
      </c>
      <c r="D52" s="22"/>
      <c r="E52" s="30"/>
      <c r="F52" s="24">
        <f t="shared" si="4"/>
        <v>0</v>
      </c>
      <c r="G52" s="89"/>
      <c r="H52" s="74"/>
      <c r="I52" s="74"/>
    </row>
    <row r="53" spans="1:9" s="3" customFormat="1" ht="11.4" x14ac:dyDescent="0.25">
      <c r="A53" s="33" t="s">
        <v>52</v>
      </c>
      <c r="B53" s="58" t="s">
        <v>679</v>
      </c>
      <c r="C53" s="21" t="s">
        <v>10</v>
      </c>
      <c r="D53" s="22"/>
      <c r="E53" s="30"/>
      <c r="F53" s="24">
        <f t="shared" si="4"/>
        <v>0</v>
      </c>
      <c r="G53" s="89"/>
      <c r="H53" s="74"/>
      <c r="I53" s="74"/>
    </row>
    <row r="54" spans="1:9" s="2" customFormat="1" ht="11.4" x14ac:dyDescent="0.25">
      <c r="A54" s="33" t="s">
        <v>53</v>
      </c>
      <c r="B54" s="58" t="s">
        <v>680</v>
      </c>
      <c r="C54" s="21" t="s">
        <v>10</v>
      </c>
      <c r="D54" s="22"/>
      <c r="E54" s="30"/>
      <c r="F54" s="24">
        <f t="shared" si="4"/>
        <v>0</v>
      </c>
      <c r="G54" s="89"/>
      <c r="H54" s="71"/>
      <c r="I54" s="74"/>
    </row>
    <row r="55" spans="1:9" s="3" customFormat="1" ht="11.4" x14ac:dyDescent="0.25">
      <c r="A55" s="33" t="s">
        <v>54</v>
      </c>
      <c r="B55" s="58" t="s">
        <v>681</v>
      </c>
      <c r="C55" s="21" t="s">
        <v>10</v>
      </c>
      <c r="D55" s="22"/>
      <c r="E55" s="30"/>
      <c r="F55" s="24">
        <f t="shared" si="4"/>
        <v>0</v>
      </c>
      <c r="G55" s="89"/>
      <c r="H55" s="74"/>
      <c r="I55" s="71"/>
    </row>
    <row r="56" spans="1:9" s="3" customFormat="1" ht="11.4" x14ac:dyDescent="0.25">
      <c r="A56" s="33" t="s">
        <v>55</v>
      </c>
      <c r="B56" s="58" t="s">
        <v>682</v>
      </c>
      <c r="C56" s="21" t="s">
        <v>10</v>
      </c>
      <c r="D56" s="22"/>
      <c r="E56" s="30"/>
      <c r="F56" s="24">
        <f t="shared" si="4"/>
        <v>0</v>
      </c>
      <c r="G56" s="89"/>
      <c r="H56" s="74"/>
      <c r="I56" s="74"/>
    </row>
    <row r="57" spans="1:9" s="2" customFormat="1" ht="11.4" x14ac:dyDescent="0.25">
      <c r="A57" s="33" t="s">
        <v>56</v>
      </c>
      <c r="B57" s="58" t="s">
        <v>656</v>
      </c>
      <c r="C57" s="21" t="s">
        <v>10</v>
      </c>
      <c r="D57" s="22"/>
      <c r="E57" s="30"/>
      <c r="F57" s="24">
        <f t="shared" si="4"/>
        <v>0</v>
      </c>
      <c r="G57" s="89"/>
      <c r="H57" s="71"/>
      <c r="I57" s="74"/>
    </row>
    <row r="58" spans="1:9" s="3" customFormat="1" ht="12" x14ac:dyDescent="0.25">
      <c r="A58" s="33" t="s">
        <v>57</v>
      </c>
      <c r="B58" s="57" t="s">
        <v>683</v>
      </c>
      <c r="C58" s="21" t="s">
        <v>10</v>
      </c>
      <c r="D58" s="22"/>
      <c r="E58" s="30"/>
      <c r="F58" s="24">
        <f>SUM(F59:F61)</f>
        <v>0</v>
      </c>
      <c r="G58" s="89"/>
      <c r="H58" s="74"/>
      <c r="I58" s="71"/>
    </row>
    <row r="59" spans="1:9" s="3" customFormat="1" ht="11.4" x14ac:dyDescent="0.25">
      <c r="A59" s="33" t="s">
        <v>58</v>
      </c>
      <c r="B59" s="58" t="s">
        <v>685</v>
      </c>
      <c r="C59" s="21" t="s">
        <v>10</v>
      </c>
      <c r="D59" s="22"/>
      <c r="E59" s="30"/>
      <c r="F59" s="24">
        <f t="shared" si="4"/>
        <v>0</v>
      </c>
      <c r="G59" s="89"/>
      <c r="H59" s="74"/>
      <c r="I59" s="74"/>
    </row>
    <row r="60" spans="1:9" s="3" customFormat="1" ht="11.4" x14ac:dyDescent="0.25">
      <c r="A60" s="33" t="s">
        <v>59</v>
      </c>
      <c r="B60" s="58" t="s">
        <v>684</v>
      </c>
      <c r="C60" s="21" t="s">
        <v>10</v>
      </c>
      <c r="D60" s="22"/>
      <c r="E60" s="30"/>
      <c r="F60" s="24">
        <f t="shared" si="4"/>
        <v>0</v>
      </c>
      <c r="G60" s="89"/>
      <c r="H60" s="74"/>
      <c r="I60" s="74"/>
    </row>
    <row r="61" spans="1:9" s="3" customFormat="1" ht="11.4" x14ac:dyDescent="0.25">
      <c r="A61" s="33" t="s">
        <v>60</v>
      </c>
      <c r="B61" s="58" t="s">
        <v>656</v>
      </c>
      <c r="C61" s="21" t="s">
        <v>10</v>
      </c>
      <c r="D61" s="22"/>
      <c r="E61" s="30"/>
      <c r="F61" s="24">
        <f t="shared" si="4"/>
        <v>0</v>
      </c>
      <c r="G61" s="89"/>
      <c r="H61" s="74"/>
      <c r="I61" s="74"/>
    </row>
    <row r="62" spans="1:9" s="3" customFormat="1" ht="12" x14ac:dyDescent="0.25">
      <c r="A62" s="33" t="s">
        <v>61</v>
      </c>
      <c r="B62" s="57" t="s">
        <v>686</v>
      </c>
      <c r="C62" s="21" t="s">
        <v>10</v>
      </c>
      <c r="D62" s="22"/>
      <c r="E62" s="30"/>
      <c r="F62" s="24">
        <f t="shared" si="4"/>
        <v>0</v>
      </c>
      <c r="G62" s="89"/>
      <c r="H62" s="74"/>
      <c r="I62" s="78"/>
    </row>
    <row r="63" spans="1:9" s="3" customFormat="1" ht="12" x14ac:dyDescent="0.25">
      <c r="A63" s="33" t="s">
        <v>62</v>
      </c>
      <c r="B63" s="57" t="s">
        <v>662</v>
      </c>
      <c r="C63" s="21" t="s">
        <v>23</v>
      </c>
      <c r="D63" s="98">
        <v>30</v>
      </c>
      <c r="E63" s="99">
        <f>(F8+F27+F44)*1000/0.7</f>
        <v>0</v>
      </c>
      <c r="F63" s="24">
        <f>D63/100*E63/1000</f>
        <v>0</v>
      </c>
      <c r="G63" s="89"/>
      <c r="H63" s="75" t="s">
        <v>896</v>
      </c>
      <c r="I63" s="78"/>
    </row>
    <row r="64" spans="1:9" s="3" customFormat="1" ht="11.4" x14ac:dyDescent="0.25">
      <c r="A64" s="27"/>
      <c r="B64" s="58" t="s">
        <v>687</v>
      </c>
      <c r="C64" s="21"/>
      <c r="D64" s="22"/>
      <c r="E64" s="30"/>
      <c r="F64" s="24">
        <f>SUM(F41,F27,F8)</f>
        <v>0</v>
      </c>
      <c r="G64" s="89"/>
      <c r="H64" s="74"/>
      <c r="I64" s="78"/>
    </row>
    <row r="65" spans="1:9" s="3" customFormat="1" ht="12" x14ac:dyDescent="0.25">
      <c r="A65" s="33" t="s">
        <v>63</v>
      </c>
      <c r="B65" s="57" t="s">
        <v>688</v>
      </c>
      <c r="C65" s="21" t="s">
        <v>23</v>
      </c>
      <c r="D65" s="96">
        <v>20</v>
      </c>
      <c r="E65" s="96">
        <f>F64*1000</f>
        <v>0</v>
      </c>
      <c r="F65" s="24">
        <f>D65/100*E65/1000</f>
        <v>0</v>
      </c>
      <c r="G65" s="89"/>
      <c r="H65" s="74"/>
      <c r="I65" s="74"/>
    </row>
    <row r="66" spans="1:9" s="2" customFormat="1" ht="12" thickBot="1" x14ac:dyDescent="0.3">
      <c r="A66" s="11"/>
      <c r="B66" s="56"/>
      <c r="C66" s="12"/>
      <c r="D66" s="13"/>
      <c r="E66" s="14"/>
      <c r="F66" s="15"/>
      <c r="G66" s="84"/>
      <c r="H66" s="71"/>
      <c r="I66" s="74"/>
    </row>
    <row r="67" spans="1:9" s="2" customFormat="1" ht="12" x14ac:dyDescent="0.25">
      <c r="A67" s="16" t="s">
        <v>64</v>
      </c>
      <c r="B67" s="18" t="s">
        <v>689</v>
      </c>
      <c r="C67" s="17"/>
      <c r="D67" s="18"/>
      <c r="E67" s="18"/>
      <c r="F67" s="19">
        <f>SUM(F80:F81)</f>
        <v>6035.5670423940155</v>
      </c>
      <c r="G67" s="89"/>
      <c r="H67" s="71"/>
      <c r="I67" s="71"/>
    </row>
    <row r="68" spans="1:9" s="3" customFormat="1" ht="12" x14ac:dyDescent="0.25">
      <c r="A68" s="20" t="s">
        <v>65</v>
      </c>
      <c r="B68" s="57" t="s">
        <v>690</v>
      </c>
      <c r="C68" s="21" t="s">
        <v>10</v>
      </c>
      <c r="D68" s="97">
        <v>1</v>
      </c>
      <c r="E68" s="106">
        <f>iocosts!B8</f>
        <v>929000</v>
      </c>
      <c r="F68" s="23">
        <f>D68*E68/1000</f>
        <v>929</v>
      </c>
      <c r="G68" s="89"/>
    </row>
    <row r="69" spans="1:9" s="3" customFormat="1" ht="12" x14ac:dyDescent="0.25">
      <c r="A69" s="20" t="s">
        <v>66</v>
      </c>
      <c r="B69" s="57" t="s">
        <v>691</v>
      </c>
      <c r="C69" s="21" t="s">
        <v>10</v>
      </c>
      <c r="D69" s="22"/>
      <c r="E69" s="22"/>
      <c r="F69" s="24">
        <f>SUM(F70,F74:F75,F79)</f>
        <v>4100.6392019950126</v>
      </c>
      <c r="G69" s="89"/>
      <c r="H69" s="75"/>
      <c r="I69" s="94"/>
    </row>
    <row r="70" spans="1:9" s="2" customFormat="1" ht="11.4" x14ac:dyDescent="0.25">
      <c r="A70" s="20" t="s">
        <v>67</v>
      </c>
      <c r="B70" s="58" t="s">
        <v>692</v>
      </c>
      <c r="C70" s="21" t="s">
        <v>10</v>
      </c>
      <c r="D70" s="22"/>
      <c r="E70" s="22"/>
      <c r="F70" s="24">
        <f>SUM(F71:F73)</f>
        <v>294.21197007481294</v>
      </c>
      <c r="G70" s="89"/>
      <c r="H70" s="71"/>
      <c r="I70" s="74"/>
    </row>
    <row r="71" spans="1:9" s="3" customFormat="1" ht="11.4" x14ac:dyDescent="0.25">
      <c r="A71" s="20" t="s">
        <v>68</v>
      </c>
      <c r="B71" s="58" t="s">
        <v>732</v>
      </c>
      <c r="C71" s="21" t="s">
        <v>69</v>
      </c>
      <c r="D71" s="88">
        <f>iocosts!B3</f>
        <v>4000</v>
      </c>
      <c r="E71" s="96">
        <f>unit_prices!D5</f>
        <v>5.9476309226932669</v>
      </c>
      <c r="F71" s="24">
        <f t="shared" ref="F71:F74" si="5">D71*E71/1000</f>
        <v>23.790523690773068</v>
      </c>
      <c r="G71" s="89"/>
      <c r="H71" s="90"/>
      <c r="I71" s="91"/>
    </row>
    <row r="72" spans="1:9" s="2" customFormat="1" ht="11.4" x14ac:dyDescent="0.25">
      <c r="A72" s="20" t="s">
        <v>70</v>
      </c>
      <c r="B72" s="58" t="s">
        <v>694</v>
      </c>
      <c r="C72" s="21" t="s">
        <v>69</v>
      </c>
      <c r="D72" s="88">
        <f>iocosts!B4</f>
        <v>10000</v>
      </c>
      <c r="E72" s="96">
        <f>unit_prices!D6</f>
        <v>27.04214463840399</v>
      </c>
      <c r="F72" s="24">
        <f t="shared" si="5"/>
        <v>270.42144638403988</v>
      </c>
      <c r="G72" s="89"/>
      <c r="H72" s="90"/>
      <c r="I72" s="91"/>
    </row>
    <row r="73" spans="1:9" s="3" customFormat="1" ht="11.4" x14ac:dyDescent="0.25">
      <c r="A73" s="20" t="s">
        <v>71</v>
      </c>
      <c r="B73" s="58" t="s">
        <v>693</v>
      </c>
      <c r="C73" s="21" t="s">
        <v>69</v>
      </c>
      <c r="D73" s="88">
        <f>iocosts!B5</f>
        <v>0</v>
      </c>
      <c r="E73" s="96">
        <f>unit_prices!D7</f>
        <v>153.84089775561097</v>
      </c>
      <c r="F73" s="24">
        <f t="shared" si="5"/>
        <v>0</v>
      </c>
      <c r="G73" s="89"/>
      <c r="H73" s="74"/>
      <c r="I73" s="71"/>
    </row>
    <row r="74" spans="1:9" s="3" customFormat="1" ht="11.4" x14ac:dyDescent="0.25">
      <c r="A74" s="20" t="s">
        <v>72</v>
      </c>
      <c r="B74" s="58" t="s">
        <v>695</v>
      </c>
      <c r="C74" s="21" t="s">
        <v>4</v>
      </c>
      <c r="D74" s="95">
        <f>iocosts!B6</f>
        <v>500</v>
      </c>
      <c r="E74" s="96">
        <f>unit_prices!D11</f>
        <v>44.644887780548629</v>
      </c>
      <c r="F74" s="24">
        <f t="shared" si="5"/>
        <v>22.322443890274315</v>
      </c>
      <c r="G74" s="89"/>
      <c r="H74" s="74"/>
      <c r="I74" s="71"/>
    </row>
    <row r="75" spans="1:9" s="3" customFormat="1" ht="11.4" x14ac:dyDescent="0.25">
      <c r="A75" s="20" t="s">
        <v>73</v>
      </c>
      <c r="B75" s="58" t="s">
        <v>696</v>
      </c>
      <c r="C75" s="21" t="s">
        <v>10</v>
      </c>
      <c r="D75" s="22"/>
      <c r="E75" s="22"/>
      <c r="F75" s="24">
        <f>SUM(F76:F78)</f>
        <v>2534.1047880299247</v>
      </c>
      <c r="G75" s="89"/>
      <c r="H75" s="73"/>
      <c r="I75" s="71"/>
    </row>
    <row r="76" spans="1:9" s="3" customFormat="1" ht="11.4" x14ac:dyDescent="0.25">
      <c r="A76" s="20" t="s">
        <v>74</v>
      </c>
      <c r="B76" s="58" t="s">
        <v>697</v>
      </c>
      <c r="C76" s="21" t="s">
        <v>75</v>
      </c>
      <c r="D76" s="98">
        <f>D77*H76</f>
        <v>2400</v>
      </c>
      <c r="E76" s="96">
        <f>unit_prices!D21</f>
        <v>0</v>
      </c>
      <c r="F76" s="24">
        <f t="shared" ref="F76:F79" si="6">D76*E76/1000</f>
        <v>0</v>
      </c>
      <c r="G76" s="89"/>
      <c r="H76" s="100">
        <v>0.3</v>
      </c>
    </row>
    <row r="77" spans="1:9" s="3" customFormat="1" ht="11.4" x14ac:dyDescent="0.25">
      <c r="A77" s="20" t="s">
        <v>76</v>
      </c>
      <c r="B77" s="58" t="s">
        <v>698</v>
      </c>
      <c r="C77" s="21" t="s">
        <v>69</v>
      </c>
      <c r="D77" s="88">
        <f>iocosts!B7</f>
        <v>8000</v>
      </c>
      <c r="E77" s="96">
        <f>unit_prices!D22</f>
        <v>201.94114713216956</v>
      </c>
      <c r="F77" s="24">
        <f t="shared" si="6"/>
        <v>1615.5291770573565</v>
      </c>
      <c r="G77" s="89"/>
      <c r="H77" s="90"/>
    </row>
    <row r="78" spans="1:9" s="3" customFormat="1" ht="11.4" x14ac:dyDescent="0.25">
      <c r="A78" s="20" t="s">
        <v>77</v>
      </c>
      <c r="B78" s="58" t="s">
        <v>699</v>
      </c>
      <c r="C78" s="21" t="s">
        <v>75</v>
      </c>
      <c r="D78" s="98">
        <f>D77*H78</f>
        <v>600</v>
      </c>
      <c r="E78" s="96">
        <f>unit_prices!D25</f>
        <v>1530.9593516209475</v>
      </c>
      <c r="F78" s="24">
        <f t="shared" si="6"/>
        <v>918.57561097256848</v>
      </c>
      <c r="G78" s="89"/>
      <c r="H78" s="101">
        <v>7.4999999999999997E-2</v>
      </c>
    </row>
    <row r="79" spans="1:9" s="3" customFormat="1" ht="11.4" x14ac:dyDescent="0.25">
      <c r="A79" s="20" t="s">
        <v>78</v>
      </c>
      <c r="B79" s="58" t="s">
        <v>700</v>
      </c>
      <c r="C79" s="21" t="s">
        <v>10</v>
      </c>
      <c r="D79" s="97">
        <v>1</v>
      </c>
      <c r="E79" s="106">
        <f>iocosts!B9</f>
        <v>1250000</v>
      </c>
      <c r="F79" s="24">
        <f t="shared" si="6"/>
        <v>1250</v>
      </c>
      <c r="G79" s="89"/>
      <c r="H79" s="75"/>
    </row>
    <row r="80" spans="1:9" s="2" customFormat="1" ht="11.4" x14ac:dyDescent="0.25">
      <c r="A80" s="27"/>
      <c r="B80" s="58" t="s">
        <v>701</v>
      </c>
      <c r="C80" s="21"/>
      <c r="D80" s="22"/>
      <c r="E80" s="22"/>
      <c r="F80" s="24">
        <f>SUM(F68:F69)</f>
        <v>5029.6392019950126</v>
      </c>
      <c r="G80" s="89"/>
      <c r="H80" s="76"/>
    </row>
    <row r="81" spans="1:9" s="3" customFormat="1" ht="12" x14ac:dyDescent="0.25">
      <c r="A81" s="20" t="s">
        <v>79</v>
      </c>
      <c r="B81" s="57" t="s">
        <v>702</v>
      </c>
      <c r="C81" s="21" t="s">
        <v>23</v>
      </c>
      <c r="D81" s="98">
        <v>20</v>
      </c>
      <c r="E81" s="99">
        <f>F80*1000</f>
        <v>5029639.2019950124</v>
      </c>
      <c r="F81" s="24">
        <f>D81/100*E81/1000</f>
        <v>1005.9278403990025</v>
      </c>
      <c r="G81" s="89"/>
      <c r="H81" s="76"/>
    </row>
    <row r="82" spans="1:9" s="3" customFormat="1" ht="12" thickBot="1" x14ac:dyDescent="0.3">
      <c r="A82" s="11"/>
      <c r="B82" s="56"/>
      <c r="C82" s="12"/>
      <c r="D82" s="13"/>
      <c r="E82" s="14"/>
      <c r="F82" s="15"/>
      <c r="G82" s="84"/>
      <c r="H82" s="73"/>
    </row>
    <row r="83" spans="1:9" s="3" customFormat="1" ht="12" x14ac:dyDescent="0.25">
      <c r="A83" s="16" t="s">
        <v>80</v>
      </c>
      <c r="B83" s="18" t="s">
        <v>704</v>
      </c>
      <c r="C83" s="17"/>
      <c r="D83" s="28"/>
      <c r="E83" s="29"/>
      <c r="F83" s="19">
        <f>SUM(F314:F317)</f>
        <v>21601.364787799019</v>
      </c>
      <c r="G83" s="89"/>
      <c r="H83" s="76"/>
    </row>
    <row r="84" spans="1:9" s="2" customFormat="1" ht="12" x14ac:dyDescent="0.25">
      <c r="A84" s="85" t="s">
        <v>81</v>
      </c>
      <c r="B84" s="57" t="s">
        <v>705</v>
      </c>
      <c r="C84" s="21"/>
      <c r="D84" s="22"/>
      <c r="E84" s="30"/>
      <c r="F84" s="24">
        <f>SUM(F85,F93,F115)</f>
        <v>1580.6705221831462</v>
      </c>
      <c r="G84" s="89"/>
      <c r="H84" s="76"/>
    </row>
    <row r="85" spans="1:9" s="3" customFormat="1" ht="11.4" x14ac:dyDescent="0.25">
      <c r="A85" s="20" t="s">
        <v>82</v>
      </c>
      <c r="B85" s="58" t="s">
        <v>706</v>
      </c>
      <c r="C85" s="21" t="s">
        <v>10</v>
      </c>
      <c r="D85" s="22"/>
      <c r="E85" s="22"/>
      <c r="F85" s="24">
        <f>SUM(F86:F92)</f>
        <v>12.299671604592508</v>
      </c>
      <c r="G85" s="89"/>
      <c r="H85" s="76"/>
    </row>
    <row r="86" spans="1:9" s="3" customFormat="1" ht="11.4" x14ac:dyDescent="0.25">
      <c r="A86" s="20" t="s">
        <v>219</v>
      </c>
      <c r="B86" s="58" t="s">
        <v>707</v>
      </c>
      <c r="C86" s="21" t="s">
        <v>10</v>
      </c>
      <c r="D86" s="22"/>
      <c r="E86" s="30"/>
      <c r="F86" s="24">
        <f>D86*E86/1000</f>
        <v>0</v>
      </c>
      <c r="G86" s="89"/>
      <c r="H86" s="90"/>
    </row>
    <row r="87" spans="1:9" s="3" customFormat="1" ht="11.4" x14ac:dyDescent="0.25">
      <c r="A87" s="31" t="s">
        <v>83</v>
      </c>
      <c r="B87" s="58" t="s">
        <v>708</v>
      </c>
      <c r="C87" s="21" t="s">
        <v>69</v>
      </c>
      <c r="D87" s="88">
        <f>iocosts!B21</f>
        <v>0</v>
      </c>
      <c r="E87" s="96">
        <f>unit_prices!D13</f>
        <v>9.7299502173933181</v>
      </c>
      <c r="F87" s="24">
        <f>D87*E87/1000</f>
        <v>0</v>
      </c>
      <c r="G87" s="89"/>
      <c r="H87" s="90"/>
    </row>
    <row r="88" spans="1:9" s="3" customFormat="1" ht="11.4" x14ac:dyDescent="0.25">
      <c r="A88" s="31" t="s">
        <v>83</v>
      </c>
      <c r="B88" s="58" t="s">
        <v>709</v>
      </c>
      <c r="C88" s="21" t="s">
        <v>69</v>
      </c>
      <c r="D88" s="88">
        <f>iocosts!B22</f>
        <v>1000</v>
      </c>
      <c r="E88" s="96">
        <f>unit_prices!D14</f>
        <v>8.4496936098415656</v>
      </c>
      <c r="F88" s="24">
        <f>D88*E88/1000</f>
        <v>8.4496936098415656</v>
      </c>
      <c r="G88" s="89"/>
      <c r="H88" s="90"/>
    </row>
    <row r="89" spans="1:9" ht="11.4" x14ac:dyDescent="0.2">
      <c r="A89" s="31" t="s">
        <v>84</v>
      </c>
      <c r="B89" s="58" t="s">
        <v>710</v>
      </c>
      <c r="C89" s="21" t="s">
        <v>10</v>
      </c>
      <c r="D89" s="22"/>
      <c r="E89" s="30"/>
      <c r="F89" s="24">
        <f t="shared" ref="F89:F92" si="7">D89*E89/1000</f>
        <v>0</v>
      </c>
      <c r="G89" s="89"/>
      <c r="I89" s="5"/>
    </row>
    <row r="90" spans="1:9" ht="11.4" x14ac:dyDescent="0.2">
      <c r="A90" s="31" t="s">
        <v>85</v>
      </c>
      <c r="B90" s="58" t="s">
        <v>711</v>
      </c>
      <c r="C90" s="21" t="s">
        <v>69</v>
      </c>
      <c r="D90" s="88">
        <f>D87+D88/2</f>
        <v>500</v>
      </c>
      <c r="E90" s="96">
        <f>unit_prices!D12</f>
        <v>5.1650479065494164</v>
      </c>
      <c r="F90" s="24">
        <f t="shared" si="7"/>
        <v>2.5825239532747082</v>
      </c>
      <c r="G90" s="89"/>
      <c r="I90" s="5"/>
    </row>
    <row r="91" spans="1:9" ht="11.4" x14ac:dyDescent="0.2">
      <c r="A91" s="31" t="s">
        <v>86</v>
      </c>
      <c r="B91" s="58" t="s">
        <v>712</v>
      </c>
      <c r="C91" s="21" t="s">
        <v>23</v>
      </c>
      <c r="D91" s="98">
        <v>15</v>
      </c>
      <c r="E91" s="96">
        <f>(F87+F88)*1000</f>
        <v>8449.6936098415663</v>
      </c>
      <c r="F91" s="24">
        <f>D91/100*E91/1000</f>
        <v>1.2674540414762347</v>
      </c>
      <c r="G91" s="89"/>
      <c r="H91" s="76"/>
      <c r="I91" s="5"/>
    </row>
    <row r="92" spans="1:9" ht="11.4" x14ac:dyDescent="0.2">
      <c r="A92" s="31" t="s">
        <v>87</v>
      </c>
      <c r="B92" s="58" t="s">
        <v>713</v>
      </c>
      <c r="C92" s="21" t="s">
        <v>10</v>
      </c>
      <c r="D92" s="22"/>
      <c r="E92" s="22"/>
      <c r="F92" s="24">
        <f t="shared" si="7"/>
        <v>0</v>
      </c>
      <c r="G92" s="89"/>
      <c r="H92" s="76"/>
      <c r="I92" s="5"/>
    </row>
    <row r="93" spans="1:9" ht="11.4" x14ac:dyDescent="0.2">
      <c r="A93" s="32" t="s">
        <v>88</v>
      </c>
      <c r="B93" s="58" t="s">
        <v>714</v>
      </c>
      <c r="C93" s="21" t="s">
        <v>10</v>
      </c>
      <c r="D93" s="22"/>
      <c r="E93" s="30"/>
      <c r="F93" s="24">
        <f>SUM(F94,F98:F99,F103,F107,F110,F114)</f>
        <v>1568.3708505785537</v>
      </c>
      <c r="G93" s="89"/>
      <c r="H93" s="76"/>
      <c r="I93" s="5"/>
    </row>
    <row r="94" spans="1:9" ht="11.4" x14ac:dyDescent="0.2">
      <c r="A94" s="27" t="s">
        <v>233</v>
      </c>
      <c r="B94" s="58" t="s">
        <v>715</v>
      </c>
      <c r="C94" s="21" t="s">
        <v>10</v>
      </c>
      <c r="D94" s="22"/>
      <c r="E94" s="30"/>
      <c r="F94" s="24">
        <f>SUM(F95:F97)</f>
        <v>481.85576059850371</v>
      </c>
      <c r="G94" s="89"/>
      <c r="H94" s="76"/>
      <c r="I94" s="5"/>
    </row>
    <row r="95" spans="1:9" ht="11.4" x14ac:dyDescent="0.2">
      <c r="A95" s="33" t="s">
        <v>234</v>
      </c>
      <c r="B95" s="58" t="s">
        <v>733</v>
      </c>
      <c r="C95" s="21" t="s">
        <v>69</v>
      </c>
      <c r="D95" s="88">
        <f>IF(iocosts!B30&gt;0,iocosts!B23,0)</f>
        <v>1600</v>
      </c>
      <c r="E95" s="96">
        <f>unit_prices!D5</f>
        <v>5.9476309226932669</v>
      </c>
      <c r="F95" s="24">
        <f>D95*E95/1000</f>
        <v>9.5162094763092266</v>
      </c>
      <c r="G95" s="89"/>
      <c r="H95" s="76"/>
      <c r="I95" s="5"/>
    </row>
    <row r="96" spans="1:9" ht="11.4" x14ac:dyDescent="0.2">
      <c r="A96" s="33" t="s">
        <v>235</v>
      </c>
      <c r="B96" s="58" t="s">
        <v>716</v>
      </c>
      <c r="C96" s="21" t="s">
        <v>69</v>
      </c>
      <c r="D96" s="88">
        <f>IF(iocosts!B30&gt;0,iocosts!B24,0)</f>
        <v>400</v>
      </c>
      <c r="E96" s="96">
        <f>unit_prices!D6</f>
        <v>27.04214463840399</v>
      </c>
      <c r="F96" s="24">
        <f>D96*E96/1000</f>
        <v>10.816857855361595</v>
      </c>
      <c r="G96" s="89"/>
      <c r="H96" s="76"/>
      <c r="I96" s="5"/>
    </row>
    <row r="97" spans="1:9" ht="11.4" x14ac:dyDescent="0.2">
      <c r="A97" s="33" t="s">
        <v>246</v>
      </c>
      <c r="B97" s="58" t="s">
        <v>717</v>
      </c>
      <c r="C97" s="21" t="s">
        <v>69</v>
      </c>
      <c r="D97" s="88">
        <f>iocosts!B26</f>
        <v>3000</v>
      </c>
      <c r="E97" s="96">
        <f>unit_prices!D7</f>
        <v>153.84089775561097</v>
      </c>
      <c r="F97" s="24">
        <f>D97*E97/1000</f>
        <v>461.5226932668329</v>
      </c>
      <c r="G97" s="89"/>
      <c r="H97" s="76"/>
      <c r="I97" s="5"/>
    </row>
    <row r="98" spans="1:9" ht="11.4" x14ac:dyDescent="0.2">
      <c r="A98" s="33" t="s">
        <v>236</v>
      </c>
      <c r="B98" s="58" t="s">
        <v>718</v>
      </c>
      <c r="C98" s="21" t="s">
        <v>4</v>
      </c>
      <c r="D98" s="95">
        <f>iocosts!B27</f>
        <v>100</v>
      </c>
      <c r="E98" s="96">
        <f>unit_prices!D10</f>
        <v>5.88428927680798</v>
      </c>
      <c r="F98" s="24">
        <f>D98*E98/1000</f>
        <v>0.58842892768079802</v>
      </c>
      <c r="G98" s="89"/>
      <c r="H98" s="90"/>
      <c r="I98" s="5"/>
    </row>
    <row r="99" spans="1:9" ht="11.4" x14ac:dyDescent="0.2">
      <c r="A99" s="33" t="s">
        <v>237</v>
      </c>
      <c r="B99" s="58" t="s">
        <v>719</v>
      </c>
      <c r="C99" s="21" t="s">
        <v>10</v>
      </c>
      <c r="D99" s="22"/>
      <c r="E99" s="30"/>
      <c r="F99" s="24">
        <f>SUM(F100:F102)</f>
        <v>129.76715810473814</v>
      </c>
      <c r="G99" s="89"/>
      <c r="H99" s="72"/>
      <c r="I99" s="5"/>
    </row>
    <row r="100" spans="1:9" ht="11.4" x14ac:dyDescent="0.2">
      <c r="A100" s="33" t="s">
        <v>238</v>
      </c>
      <c r="B100" s="58" t="s">
        <v>720</v>
      </c>
      <c r="C100" s="21" t="s">
        <v>75</v>
      </c>
      <c r="D100" s="98">
        <f>D101*H100</f>
        <v>112.00000000000001</v>
      </c>
      <c r="E100" s="96">
        <f>unit_prices!D21</f>
        <v>0</v>
      </c>
      <c r="F100" s="24">
        <f>D100*E100/1000</f>
        <v>0</v>
      </c>
      <c r="G100" s="89"/>
      <c r="H100" s="103">
        <v>0.28000000000000003</v>
      </c>
      <c r="I100" s="5"/>
    </row>
    <row r="101" spans="1:9" ht="11.4" x14ac:dyDescent="0.2">
      <c r="A101" s="33" t="s">
        <v>239</v>
      </c>
      <c r="B101" s="58" t="s">
        <v>721</v>
      </c>
      <c r="C101" s="21" t="s">
        <v>69</v>
      </c>
      <c r="D101" s="88">
        <f>iocosts!B28</f>
        <v>400</v>
      </c>
      <c r="E101" s="96">
        <f>unit_prices!D22</f>
        <v>201.94114713216956</v>
      </c>
      <c r="F101" s="24">
        <f t="shared" ref="F101:F102" si="8">D101*E101/1000</f>
        <v>80.776458852867833</v>
      </c>
      <c r="G101" s="89"/>
      <c r="H101" s="93"/>
      <c r="I101" s="5"/>
    </row>
    <row r="102" spans="1:9" ht="11.4" x14ac:dyDescent="0.2">
      <c r="A102" s="33" t="s">
        <v>240</v>
      </c>
      <c r="B102" s="58" t="s">
        <v>722</v>
      </c>
      <c r="C102" s="21" t="s">
        <v>75</v>
      </c>
      <c r="D102" s="98">
        <f>D101*H102</f>
        <v>32</v>
      </c>
      <c r="E102" s="96">
        <f>unit_prices!D25</f>
        <v>1530.9593516209475</v>
      </c>
      <c r="F102" s="24">
        <f t="shared" si="8"/>
        <v>48.990699251870318</v>
      </c>
      <c r="G102" s="89"/>
      <c r="H102" s="103">
        <v>0.08</v>
      </c>
      <c r="I102" s="5"/>
    </row>
    <row r="103" spans="1:9" ht="11.4" x14ac:dyDescent="0.2">
      <c r="A103" s="33" t="s">
        <v>237</v>
      </c>
      <c r="B103" s="58" t="s">
        <v>723</v>
      </c>
      <c r="C103" s="21" t="s">
        <v>10</v>
      </c>
      <c r="F103" s="24">
        <f>SUM(F104:F106)</f>
        <v>119.05348802992519</v>
      </c>
      <c r="G103" s="89"/>
      <c r="H103" s="72"/>
      <c r="I103" s="5"/>
    </row>
    <row r="104" spans="1:9" ht="11.4" x14ac:dyDescent="0.2">
      <c r="A104" s="33" t="s">
        <v>238</v>
      </c>
      <c r="B104" s="58" t="s">
        <v>720</v>
      </c>
      <c r="C104" s="21" t="s">
        <v>75</v>
      </c>
      <c r="D104" s="98">
        <f>D105*H104</f>
        <v>90</v>
      </c>
      <c r="E104" s="96">
        <f>unit_prices!D21</f>
        <v>0</v>
      </c>
      <c r="F104" s="24">
        <f>D104*E104/1000</f>
        <v>0</v>
      </c>
      <c r="G104" s="89"/>
      <c r="H104" s="103">
        <v>0.3</v>
      </c>
      <c r="I104" s="5"/>
    </row>
    <row r="105" spans="1:9" ht="11.4" x14ac:dyDescent="0.2">
      <c r="A105" s="33" t="s">
        <v>239</v>
      </c>
      <c r="B105" s="58" t="s">
        <v>721</v>
      </c>
      <c r="C105" s="21" t="s">
        <v>69</v>
      </c>
      <c r="D105" s="88">
        <f>iocosts!B29</f>
        <v>300</v>
      </c>
      <c r="E105" s="96">
        <f>unit_prices!D24</f>
        <v>289.67780548628429</v>
      </c>
      <c r="F105" s="24">
        <f t="shared" ref="F105:F106" si="9">D105*E105/1000</f>
        <v>86.903341645885291</v>
      </c>
      <c r="G105" s="89"/>
      <c r="H105" s="93"/>
      <c r="I105" s="5"/>
    </row>
    <row r="106" spans="1:9" ht="11.4" x14ac:dyDescent="0.2">
      <c r="A106" s="33" t="s">
        <v>240</v>
      </c>
      <c r="B106" s="58" t="s">
        <v>722</v>
      </c>
      <c r="C106" s="21" t="s">
        <v>75</v>
      </c>
      <c r="D106" s="98">
        <f>D105*H106</f>
        <v>21.000000000000004</v>
      </c>
      <c r="E106" s="96">
        <f>unit_prices!D25</f>
        <v>1530.9593516209475</v>
      </c>
      <c r="F106" s="24">
        <f t="shared" si="9"/>
        <v>32.1501463840399</v>
      </c>
      <c r="G106" s="89"/>
      <c r="H106" s="103">
        <v>7.0000000000000007E-2</v>
      </c>
      <c r="I106" s="5"/>
    </row>
    <row r="107" spans="1:9" ht="11.4" x14ac:dyDescent="0.2">
      <c r="A107" s="33" t="s">
        <v>237</v>
      </c>
      <c r="B107" s="58" t="s">
        <v>863</v>
      </c>
      <c r="C107" s="21" t="s">
        <v>10</v>
      </c>
      <c r="F107" s="24">
        <f>SUM(F108:F109)</f>
        <v>53.412468827930176</v>
      </c>
      <c r="G107" s="89"/>
      <c r="H107" s="90"/>
      <c r="I107" s="5"/>
    </row>
    <row r="108" spans="1:9" ht="11.4" x14ac:dyDescent="0.2">
      <c r="A108" s="33" t="s">
        <v>238</v>
      </c>
      <c r="B108" s="58" t="s">
        <v>720</v>
      </c>
      <c r="C108" s="21" t="s">
        <v>75</v>
      </c>
      <c r="D108" s="98">
        <f>D109*H108</f>
        <v>75</v>
      </c>
      <c r="E108" s="96">
        <f>unit_prices!D21</f>
        <v>0</v>
      </c>
      <c r="F108" s="24">
        <f>D108*E108/1000</f>
        <v>0</v>
      </c>
      <c r="G108" s="89"/>
      <c r="H108" s="103">
        <v>0.15</v>
      </c>
      <c r="I108" s="5"/>
    </row>
    <row r="109" spans="1:9" ht="11.4" x14ac:dyDescent="0.2">
      <c r="A109" s="33" t="s">
        <v>239</v>
      </c>
      <c r="B109" s="58" t="s">
        <v>721</v>
      </c>
      <c r="C109" s="21" t="s">
        <v>69</v>
      </c>
      <c r="D109" s="88">
        <f>IF(iocosts!B30&gt;0,iocosts!B25,0)</f>
        <v>500</v>
      </c>
      <c r="E109" s="96">
        <f>unit_prices!D23</f>
        <v>106.82493765586035</v>
      </c>
      <c r="F109" s="24">
        <f t="shared" ref="F109" si="10">D109*E109/1000</f>
        <v>53.412468827930176</v>
      </c>
      <c r="G109" s="89"/>
      <c r="H109" s="90"/>
      <c r="I109" s="5"/>
    </row>
    <row r="110" spans="1:9" ht="11.4" x14ac:dyDescent="0.2">
      <c r="A110" s="33" t="s">
        <v>241</v>
      </c>
      <c r="B110" s="58" t="s">
        <v>725</v>
      </c>
      <c r="C110" s="21" t="s">
        <v>10</v>
      </c>
      <c r="D110" s="22"/>
      <c r="E110" s="22"/>
      <c r="F110" s="24">
        <f>SUM(F111:F113)</f>
        <v>768</v>
      </c>
      <c r="G110" s="89"/>
      <c r="H110" s="90"/>
      <c r="I110" s="5"/>
    </row>
    <row r="111" spans="1:9" ht="11.4" x14ac:dyDescent="0.2">
      <c r="A111" s="33" t="s">
        <v>242</v>
      </c>
      <c r="B111" s="58" t="s">
        <v>769</v>
      </c>
      <c r="C111" s="21" t="s">
        <v>89</v>
      </c>
      <c r="D111" s="104">
        <f>iocosts!B30</f>
        <v>1</v>
      </c>
      <c r="E111" s="105">
        <f>iocosts!B31</f>
        <v>358000</v>
      </c>
      <c r="F111" s="24">
        <f>D111*E111/1000</f>
        <v>358</v>
      </c>
      <c r="G111" s="89"/>
      <c r="H111" s="90"/>
      <c r="I111" s="5"/>
    </row>
    <row r="112" spans="1:9" ht="11.4" x14ac:dyDescent="0.2">
      <c r="A112" s="20" t="s">
        <v>243</v>
      </c>
      <c r="B112" s="58" t="s">
        <v>726</v>
      </c>
      <c r="C112" s="21" t="s">
        <v>89</v>
      </c>
      <c r="D112" s="104">
        <f>iocosts!B32</f>
        <v>1</v>
      </c>
      <c r="E112" s="105">
        <f>iocosts!B33</f>
        <v>258000</v>
      </c>
      <c r="F112" s="24">
        <f>D112*E112/1000</f>
        <v>258</v>
      </c>
      <c r="G112" s="89"/>
      <c r="H112" s="72"/>
      <c r="I112" s="5"/>
    </row>
    <row r="113" spans="1:9" ht="11.4" x14ac:dyDescent="0.2">
      <c r="A113" s="33" t="s">
        <v>244</v>
      </c>
      <c r="B113" s="58" t="s">
        <v>727</v>
      </c>
      <c r="C113" s="21" t="s">
        <v>89</v>
      </c>
      <c r="D113" s="98">
        <v>1</v>
      </c>
      <c r="E113" s="105">
        <f>iocosts!B34</f>
        <v>152000</v>
      </c>
      <c r="F113" s="24">
        <f>D113*E113/1000</f>
        <v>152</v>
      </c>
      <c r="G113" s="89"/>
      <c r="H113" s="72"/>
      <c r="I113" s="5"/>
    </row>
    <row r="114" spans="1:9" ht="11.4" x14ac:dyDescent="0.2">
      <c r="A114" s="20" t="s">
        <v>245</v>
      </c>
      <c r="B114" s="58" t="s">
        <v>724</v>
      </c>
      <c r="C114" s="21" t="s">
        <v>23</v>
      </c>
      <c r="D114" s="102">
        <v>2</v>
      </c>
      <c r="E114" s="30">
        <f>SUM(F94,F98:F99,F103,F107)*1000</f>
        <v>784677.30448877811</v>
      </c>
      <c r="F114" s="24">
        <f>D114/100*E114/1000</f>
        <v>15.693546089775563</v>
      </c>
      <c r="G114" s="89"/>
      <c r="H114" s="76"/>
      <c r="I114" s="5"/>
    </row>
    <row r="115" spans="1:9" ht="11.4" x14ac:dyDescent="0.2">
      <c r="A115" s="20" t="s">
        <v>215</v>
      </c>
      <c r="B115" s="58" t="s">
        <v>729</v>
      </c>
      <c r="C115" s="21" t="s">
        <v>10</v>
      </c>
      <c r="D115" s="22"/>
      <c r="E115" s="30"/>
      <c r="F115" s="24">
        <f>SUM(F116,F119:F120,F124,F127,F132)</f>
        <v>0</v>
      </c>
      <c r="G115" s="89"/>
      <c r="H115" s="76"/>
      <c r="I115" s="5"/>
    </row>
    <row r="116" spans="1:9" ht="11.4" x14ac:dyDescent="0.2">
      <c r="A116" s="27" t="s">
        <v>247</v>
      </c>
      <c r="B116" s="58" t="s">
        <v>715</v>
      </c>
      <c r="C116" s="21" t="s">
        <v>10</v>
      </c>
      <c r="D116" s="22"/>
      <c r="E116" s="30"/>
      <c r="F116" s="24">
        <f>SUM(F117:F118)</f>
        <v>0</v>
      </c>
      <c r="G116" s="89"/>
      <c r="H116" s="5"/>
      <c r="I116" s="5"/>
    </row>
    <row r="117" spans="1:9" ht="11.4" x14ac:dyDescent="0.2">
      <c r="A117" s="33" t="s">
        <v>248</v>
      </c>
      <c r="B117" s="58" t="s">
        <v>733</v>
      </c>
      <c r="C117" s="21" t="s">
        <v>69</v>
      </c>
      <c r="D117" s="88">
        <f>IF(iocosts!B30&gt;0,0,iocosts!B23)</f>
        <v>0</v>
      </c>
      <c r="E117" s="96">
        <f>unit_prices!D5</f>
        <v>5.9476309226932669</v>
      </c>
      <c r="F117" s="24">
        <f>D117*E117/1000</f>
        <v>0</v>
      </c>
      <c r="G117" s="89"/>
      <c r="I117" s="5"/>
    </row>
    <row r="118" spans="1:9" ht="11.4" x14ac:dyDescent="0.2">
      <c r="A118" s="33" t="s">
        <v>249</v>
      </c>
      <c r="B118" s="58" t="s">
        <v>716</v>
      </c>
      <c r="C118" s="21" t="s">
        <v>69</v>
      </c>
      <c r="D118" s="88">
        <f>IF(iocosts!B30&gt;0,0,iocosts!B24)+iocosts!B35+iocosts!B38</f>
        <v>0</v>
      </c>
      <c r="E118" s="96">
        <f>unit_prices!D6</f>
        <v>27.04214463840399</v>
      </c>
      <c r="F118" s="24">
        <f>D118*E118/1000</f>
        <v>0</v>
      </c>
      <c r="G118" s="89"/>
      <c r="H118" s="93"/>
      <c r="I118" s="5"/>
    </row>
    <row r="119" spans="1:9" ht="11.4" x14ac:dyDescent="0.2">
      <c r="A119" s="33" t="s">
        <v>250</v>
      </c>
      <c r="B119" s="58" t="s">
        <v>718</v>
      </c>
      <c r="C119" s="21" t="s">
        <v>4</v>
      </c>
      <c r="D119" s="88">
        <f>iocosts!B36+iocosts!B39</f>
        <v>0</v>
      </c>
      <c r="E119" s="96">
        <f>unit_prices!D11</f>
        <v>44.644887780548629</v>
      </c>
      <c r="F119" s="24">
        <f>D119*E119/1000</f>
        <v>0</v>
      </c>
      <c r="G119" s="89"/>
      <c r="H119" s="76"/>
      <c r="I119" s="5"/>
    </row>
    <row r="120" spans="1:9" ht="11.4" x14ac:dyDescent="0.2">
      <c r="A120" s="33" t="s">
        <v>251</v>
      </c>
      <c r="B120" s="58" t="s">
        <v>719</v>
      </c>
      <c r="C120" s="21" t="s">
        <v>10</v>
      </c>
      <c r="D120" s="22"/>
      <c r="E120" s="30"/>
      <c r="F120" s="24">
        <f>SUM(F121:F123)</f>
        <v>0</v>
      </c>
      <c r="G120" s="89"/>
      <c r="I120" s="5"/>
    </row>
    <row r="121" spans="1:9" ht="11.4" x14ac:dyDescent="0.2">
      <c r="A121" s="33" t="s">
        <v>252</v>
      </c>
      <c r="B121" s="58" t="s">
        <v>720</v>
      </c>
      <c r="C121" s="21" t="s">
        <v>75</v>
      </c>
      <c r="D121" s="98">
        <f>D122*H121</f>
        <v>0</v>
      </c>
      <c r="E121" s="96">
        <f>unit_prices!D21</f>
        <v>0</v>
      </c>
      <c r="F121" s="24">
        <f>D121*E121/1000</f>
        <v>0</v>
      </c>
      <c r="G121" s="89"/>
      <c r="H121" s="103">
        <v>0.28000000000000003</v>
      </c>
      <c r="I121" s="5"/>
    </row>
    <row r="122" spans="1:9" ht="11.4" x14ac:dyDescent="0.2">
      <c r="A122" s="33" t="s">
        <v>253</v>
      </c>
      <c r="B122" s="58" t="s">
        <v>721</v>
      </c>
      <c r="C122" s="21" t="s">
        <v>69</v>
      </c>
      <c r="D122" s="88">
        <f>iocosts!B37+iocosts!B40</f>
        <v>0</v>
      </c>
      <c r="E122" s="96">
        <f>unit_prices!D22</f>
        <v>201.94114713216956</v>
      </c>
      <c r="F122" s="24">
        <f t="shared" ref="F122:F123" si="11">D122*E122/1000</f>
        <v>0</v>
      </c>
      <c r="G122" s="89"/>
      <c r="H122" s="93"/>
      <c r="I122" s="5"/>
    </row>
    <row r="123" spans="1:9" ht="11.4" x14ac:dyDescent="0.2">
      <c r="A123" s="33" t="s">
        <v>254</v>
      </c>
      <c r="B123" s="58" t="s">
        <v>722</v>
      </c>
      <c r="C123" s="21" t="s">
        <v>75</v>
      </c>
      <c r="D123" s="98">
        <f>D122*H123</f>
        <v>0</v>
      </c>
      <c r="E123" s="96">
        <f>unit_prices!D25</f>
        <v>1530.9593516209475</v>
      </c>
      <c r="F123" s="24">
        <f t="shared" si="11"/>
        <v>0</v>
      </c>
      <c r="G123" s="89"/>
      <c r="H123" s="103">
        <v>0.08</v>
      </c>
      <c r="I123" s="5"/>
    </row>
    <row r="124" spans="1:9" ht="11.4" x14ac:dyDescent="0.2">
      <c r="A124" s="33" t="s">
        <v>251</v>
      </c>
      <c r="B124" s="58" t="s">
        <v>863</v>
      </c>
      <c r="C124" s="21" t="s">
        <v>10</v>
      </c>
      <c r="F124" s="24">
        <f>SUM(F125:F126)</f>
        <v>0</v>
      </c>
      <c r="G124" s="89"/>
      <c r="H124" s="90"/>
      <c r="I124" s="5"/>
    </row>
    <row r="125" spans="1:9" ht="11.4" x14ac:dyDescent="0.2">
      <c r="A125" s="33" t="s">
        <v>252</v>
      </c>
      <c r="B125" s="58" t="s">
        <v>720</v>
      </c>
      <c r="C125" s="21" t="s">
        <v>75</v>
      </c>
      <c r="D125" s="98">
        <f>D126*H125</f>
        <v>0</v>
      </c>
      <c r="E125" s="96">
        <f>unit_prices!D21</f>
        <v>0</v>
      </c>
      <c r="F125" s="24">
        <f>D125*E125/1000</f>
        <v>0</v>
      </c>
      <c r="G125" s="89"/>
      <c r="H125" s="103">
        <v>0.15</v>
      </c>
      <c r="I125" s="5"/>
    </row>
    <row r="126" spans="1:9" ht="11.4" x14ac:dyDescent="0.2">
      <c r="A126" s="33" t="s">
        <v>253</v>
      </c>
      <c r="B126" s="58" t="s">
        <v>721</v>
      </c>
      <c r="C126" s="21" t="s">
        <v>69</v>
      </c>
      <c r="D126" s="88">
        <f>IF(iocosts!B30&gt;0,0,iocosts!B25)</f>
        <v>0</v>
      </c>
      <c r="E126" s="96">
        <f>unit_prices!D23</f>
        <v>106.82493765586035</v>
      </c>
      <c r="F126" s="24">
        <f t="shared" ref="F126" si="12">D126*E126/1000</f>
        <v>0</v>
      </c>
      <c r="G126" s="89"/>
      <c r="H126" s="90"/>
      <c r="I126" s="5"/>
    </row>
    <row r="127" spans="1:9" ht="11.4" x14ac:dyDescent="0.2">
      <c r="A127" s="33" t="s">
        <v>255</v>
      </c>
      <c r="B127" s="58" t="s">
        <v>725</v>
      </c>
      <c r="C127" s="21" t="s">
        <v>10</v>
      </c>
      <c r="D127" s="22"/>
      <c r="E127" s="22"/>
      <c r="F127" s="24">
        <f>SUM(F128:F131)</f>
        <v>0</v>
      </c>
      <c r="G127" s="89"/>
      <c r="H127" s="5"/>
      <c r="I127" s="5"/>
    </row>
    <row r="128" spans="1:9" ht="11.4" x14ac:dyDescent="0.2">
      <c r="A128" s="33" t="s">
        <v>256</v>
      </c>
      <c r="B128" s="58" t="s">
        <v>769</v>
      </c>
      <c r="C128" s="21" t="s">
        <v>89</v>
      </c>
      <c r="D128" s="104">
        <f>iocosts!B41</f>
        <v>0</v>
      </c>
      <c r="E128" s="105">
        <f>iocosts!B42</f>
        <v>0</v>
      </c>
      <c r="F128" s="24">
        <f t="shared" ref="F128:F131" si="13">D128*E128/1000</f>
        <v>0</v>
      </c>
      <c r="G128" s="89"/>
      <c r="H128" s="5"/>
      <c r="I128" s="5"/>
    </row>
    <row r="129" spans="1:9" ht="11.4" x14ac:dyDescent="0.2">
      <c r="A129" s="20" t="s">
        <v>258</v>
      </c>
      <c r="B129" s="58" t="s">
        <v>726</v>
      </c>
      <c r="C129" s="21" t="s">
        <v>89</v>
      </c>
      <c r="D129" s="104">
        <f>iocosts!B43</f>
        <v>0</v>
      </c>
      <c r="E129" s="105">
        <f>iocosts!B44</f>
        <v>0</v>
      </c>
      <c r="F129" s="24">
        <f t="shared" si="13"/>
        <v>0</v>
      </c>
      <c r="G129" s="89"/>
      <c r="H129" s="5"/>
      <c r="I129" s="5"/>
    </row>
    <row r="130" spans="1:9" ht="11.4" x14ac:dyDescent="0.2">
      <c r="A130" s="20" t="s">
        <v>258</v>
      </c>
      <c r="B130" s="58" t="s">
        <v>728</v>
      </c>
      <c r="C130" s="21" t="s">
        <v>89</v>
      </c>
      <c r="D130" s="104">
        <f>iocosts!B45</f>
        <v>0</v>
      </c>
      <c r="E130" s="105">
        <f>iocosts!B46</f>
        <v>0</v>
      </c>
      <c r="F130" s="24">
        <f t="shared" si="13"/>
        <v>0</v>
      </c>
      <c r="G130" s="89"/>
      <c r="H130" s="5"/>
      <c r="I130" s="5"/>
    </row>
    <row r="131" spans="1:9" ht="11.4" x14ac:dyDescent="0.2">
      <c r="A131" s="33" t="s">
        <v>257</v>
      </c>
      <c r="B131" s="58" t="s">
        <v>727</v>
      </c>
      <c r="C131" s="21" t="s">
        <v>89</v>
      </c>
      <c r="D131" s="98">
        <v>1</v>
      </c>
      <c r="E131" s="105">
        <f>iocosts!B47</f>
        <v>0</v>
      </c>
      <c r="F131" s="24">
        <f t="shared" si="13"/>
        <v>0</v>
      </c>
      <c r="G131" s="89"/>
      <c r="H131" s="5"/>
      <c r="I131" s="5"/>
    </row>
    <row r="132" spans="1:9" ht="11.4" x14ac:dyDescent="0.2">
      <c r="A132" s="20" t="s">
        <v>259</v>
      </c>
      <c r="B132" s="58" t="s">
        <v>724</v>
      </c>
      <c r="C132" s="21" t="s">
        <v>23</v>
      </c>
      <c r="D132" s="102">
        <v>2</v>
      </c>
      <c r="E132" s="30">
        <f>SUM(F116,F119:F120,F124)*1000</f>
        <v>0</v>
      </c>
      <c r="F132" s="24">
        <f>D132/100*E132/1000</f>
        <v>0</v>
      </c>
      <c r="G132" s="89"/>
      <c r="H132" s="5"/>
      <c r="I132" s="5"/>
    </row>
    <row r="133" spans="1:9" ht="12" x14ac:dyDescent="0.2">
      <c r="A133" s="42" t="s">
        <v>90</v>
      </c>
      <c r="B133" s="57" t="s">
        <v>730</v>
      </c>
      <c r="C133" s="21"/>
      <c r="D133" s="22"/>
      <c r="E133" s="30"/>
      <c r="F133" s="24">
        <f>SUM(F134,F153,F166)</f>
        <v>1746.5153440399001</v>
      </c>
      <c r="G133" s="89"/>
      <c r="H133" s="5"/>
      <c r="I133" s="5"/>
    </row>
    <row r="134" spans="1:9" ht="11.4" x14ac:dyDescent="0.2">
      <c r="A134" s="31" t="s">
        <v>91</v>
      </c>
      <c r="B134" s="58" t="s">
        <v>731</v>
      </c>
      <c r="C134" s="21" t="s">
        <v>10</v>
      </c>
      <c r="D134" s="22"/>
      <c r="E134" s="30"/>
      <c r="F134" s="24">
        <f>SUM(F135,F140:F144,F145,F149,F152)</f>
        <v>680.24120498753109</v>
      </c>
      <c r="G134" s="89"/>
      <c r="H134" s="5"/>
      <c r="I134" s="5"/>
    </row>
    <row r="135" spans="1:9" ht="11.4" x14ac:dyDescent="0.2">
      <c r="A135" s="31" t="s">
        <v>92</v>
      </c>
      <c r="B135" s="58" t="s">
        <v>692</v>
      </c>
      <c r="C135" s="21" t="s">
        <v>10</v>
      </c>
      <c r="D135" s="22"/>
      <c r="E135" s="30"/>
      <c r="F135" s="24">
        <f>SUM(F136:F139)</f>
        <v>418.94304239401492</v>
      </c>
      <c r="G135" s="89"/>
      <c r="H135" s="5"/>
      <c r="I135" s="5"/>
    </row>
    <row r="136" spans="1:9" ht="11.4" x14ac:dyDescent="0.2">
      <c r="A136" s="31" t="s">
        <v>93</v>
      </c>
      <c r="B136" s="58" t="s">
        <v>732</v>
      </c>
      <c r="C136" s="21" t="s">
        <v>69</v>
      </c>
      <c r="D136" s="88">
        <f>iocosts!B48+iocosts!B50</f>
        <v>0</v>
      </c>
      <c r="E136" s="96">
        <f>unit_prices!D5</f>
        <v>5.9476309226932669</v>
      </c>
      <c r="F136" s="24">
        <f>D136*E136/1000</f>
        <v>0</v>
      </c>
      <c r="G136" s="89"/>
      <c r="H136" s="5"/>
      <c r="I136" s="5"/>
    </row>
    <row r="137" spans="1:9" ht="11.4" x14ac:dyDescent="0.2">
      <c r="A137" s="31" t="s">
        <v>93</v>
      </c>
      <c r="B137" s="58" t="s">
        <v>747</v>
      </c>
      <c r="C137" s="21" t="s">
        <v>69</v>
      </c>
      <c r="D137" s="88">
        <f>balance!D19</f>
        <v>0</v>
      </c>
      <c r="E137" s="96">
        <f>unit_prices!D8</f>
        <v>10.327630922693267</v>
      </c>
      <c r="F137" s="24">
        <f t="shared" ref="F137" si="14">D137*E137/1000</f>
        <v>0</v>
      </c>
      <c r="G137" s="89"/>
      <c r="H137" s="5"/>
      <c r="I137" s="5"/>
    </row>
    <row r="138" spans="1:9" ht="11.4" x14ac:dyDescent="0.2">
      <c r="A138" s="31" t="s">
        <v>94</v>
      </c>
      <c r="B138" s="58" t="s">
        <v>734</v>
      </c>
      <c r="C138" s="21" t="s">
        <v>69</v>
      </c>
      <c r="D138" s="88">
        <v>0</v>
      </c>
      <c r="E138" s="96">
        <f>unit_prices!D6</f>
        <v>27.04214463840399</v>
      </c>
      <c r="F138" s="24">
        <f>D138*E138/1000</f>
        <v>0</v>
      </c>
      <c r="G138" s="89"/>
      <c r="H138" s="5"/>
      <c r="I138" s="5"/>
    </row>
    <row r="139" spans="1:9" ht="11.4" x14ac:dyDescent="0.2">
      <c r="A139" s="31" t="s">
        <v>94</v>
      </c>
      <c r="B139" s="58" t="s">
        <v>748</v>
      </c>
      <c r="C139" s="21" t="s">
        <v>69</v>
      </c>
      <c r="D139" s="88">
        <f>balance!D11</f>
        <v>12000</v>
      </c>
      <c r="E139" s="96">
        <f>unit_prices!D9</f>
        <v>34.911920199501246</v>
      </c>
      <c r="F139" s="24">
        <f>D139*E139/1000</f>
        <v>418.94304239401492</v>
      </c>
      <c r="G139" s="89"/>
      <c r="H139" s="5"/>
      <c r="I139" s="5"/>
    </row>
    <row r="140" spans="1:9" ht="11.4" x14ac:dyDescent="0.2">
      <c r="A140" s="31" t="s">
        <v>95</v>
      </c>
      <c r="B140" s="58" t="s">
        <v>736</v>
      </c>
      <c r="C140" s="21" t="s">
        <v>4</v>
      </c>
      <c r="D140" s="88">
        <f>iocosts!B49+iocosts!B51</f>
        <v>0</v>
      </c>
      <c r="E140" s="96">
        <f>unit_prices!D10</f>
        <v>5.88428927680798</v>
      </c>
      <c r="F140" s="23">
        <f>D140*E140/1000</f>
        <v>0</v>
      </c>
      <c r="G140" s="89"/>
      <c r="H140" s="5"/>
      <c r="I140" s="5"/>
    </row>
    <row r="141" spans="1:9" ht="11.4" x14ac:dyDescent="0.2">
      <c r="A141" s="31" t="s">
        <v>96</v>
      </c>
      <c r="B141" s="58" t="s">
        <v>745</v>
      </c>
      <c r="C141" s="21" t="s">
        <v>69</v>
      </c>
      <c r="D141" s="88">
        <f>iocosts!B52</f>
        <v>0</v>
      </c>
      <c r="E141" s="96">
        <f>unit_prices!D15</f>
        <v>6.8877805486284283</v>
      </c>
      <c r="F141" s="24">
        <f t="shared" ref="F141:F144" si="15">D141*E141/1000</f>
        <v>0</v>
      </c>
      <c r="G141" s="89"/>
      <c r="H141" s="5"/>
      <c r="I141" s="5"/>
    </row>
    <row r="142" spans="1:9" ht="11.4" x14ac:dyDescent="0.2">
      <c r="A142" s="31" t="s">
        <v>97</v>
      </c>
      <c r="B142" s="58" t="s">
        <v>744</v>
      </c>
      <c r="C142" s="21" t="s">
        <v>69</v>
      </c>
      <c r="D142" s="88">
        <f>iocosts!B53</f>
        <v>16000</v>
      </c>
      <c r="E142" s="96">
        <f>unit_prices!D17</f>
        <v>9.7576891105569388</v>
      </c>
      <c r="F142" s="24">
        <f t="shared" si="15"/>
        <v>156.12302576891102</v>
      </c>
      <c r="G142" s="89"/>
      <c r="H142" s="5"/>
      <c r="I142" s="5"/>
    </row>
    <row r="143" spans="1:9" ht="11.4" x14ac:dyDescent="0.2">
      <c r="A143" s="31" t="s">
        <v>98</v>
      </c>
      <c r="B143" s="58" t="s">
        <v>746</v>
      </c>
      <c r="C143" s="21" t="s">
        <v>69</v>
      </c>
      <c r="D143" s="88">
        <f>iocosts!B54</f>
        <v>8000</v>
      </c>
      <c r="E143" s="96">
        <f>unit_prices!D16</f>
        <v>11.479634247714047</v>
      </c>
      <c r="F143" s="24">
        <f t="shared" si="15"/>
        <v>91.837073981712379</v>
      </c>
      <c r="G143" s="89"/>
      <c r="H143" s="5"/>
      <c r="I143" s="5"/>
    </row>
    <row r="144" spans="1:9" ht="11.4" x14ac:dyDescent="0.2">
      <c r="A144" s="33" t="s">
        <v>99</v>
      </c>
      <c r="B144" s="58" t="s">
        <v>749</v>
      </c>
      <c r="C144" s="21" t="s">
        <v>69</v>
      </c>
      <c r="D144" s="88">
        <f>iocosts!B55+iocosts!B56</f>
        <v>0</v>
      </c>
      <c r="E144" s="96">
        <f>unit_prices!D18</f>
        <v>39.030756442227755</v>
      </c>
      <c r="F144" s="24">
        <f t="shared" si="15"/>
        <v>0</v>
      </c>
      <c r="G144" s="89"/>
      <c r="H144" s="93"/>
      <c r="I144" s="5"/>
    </row>
    <row r="145" spans="1:9" ht="11.4" x14ac:dyDescent="0.2">
      <c r="A145" s="31" t="s">
        <v>100</v>
      </c>
      <c r="B145" s="58" t="s">
        <v>750</v>
      </c>
      <c r="C145" s="21" t="s">
        <v>10</v>
      </c>
      <c r="D145" s="22"/>
      <c r="E145" s="30"/>
      <c r="F145" s="24">
        <f>SUM(F146:F148)</f>
        <v>0</v>
      </c>
      <c r="G145" s="89"/>
      <c r="H145" s="5"/>
      <c r="I145" s="5"/>
    </row>
    <row r="146" spans="1:9" ht="11.4" x14ac:dyDescent="0.2">
      <c r="A146" s="31" t="s">
        <v>101</v>
      </c>
      <c r="B146" s="58" t="s">
        <v>697</v>
      </c>
      <c r="C146" s="21" t="s">
        <v>75</v>
      </c>
      <c r="D146" s="98">
        <f>D147*H146</f>
        <v>0</v>
      </c>
      <c r="E146" s="96">
        <f>unit_prices!D21</f>
        <v>0</v>
      </c>
      <c r="F146" s="24">
        <f>D146*E146/1000</f>
        <v>0</v>
      </c>
      <c r="G146" s="89"/>
      <c r="H146" s="103">
        <v>0.25</v>
      </c>
      <c r="I146" s="5"/>
    </row>
    <row r="147" spans="1:9" ht="11.4" x14ac:dyDescent="0.2">
      <c r="A147" s="31" t="s">
        <v>102</v>
      </c>
      <c r="B147" s="58" t="s">
        <v>739</v>
      </c>
      <c r="C147" s="21" t="s">
        <v>69</v>
      </c>
      <c r="D147" s="88">
        <f>iocosts!B57</f>
        <v>0</v>
      </c>
      <c r="E147" s="96">
        <f>unit_prices!D22</f>
        <v>201.94114713216956</v>
      </c>
      <c r="F147" s="24">
        <f t="shared" ref="F147:F148" si="16">D147*E147/1000</f>
        <v>0</v>
      </c>
      <c r="G147" s="89"/>
      <c r="H147" s="76"/>
      <c r="I147" s="5"/>
    </row>
    <row r="148" spans="1:9" ht="11.4" x14ac:dyDescent="0.2">
      <c r="A148" s="31" t="s">
        <v>232</v>
      </c>
      <c r="B148" s="58" t="s">
        <v>741</v>
      </c>
      <c r="C148" s="21" t="s">
        <v>75</v>
      </c>
      <c r="D148" s="98">
        <f>D147*H148</f>
        <v>0</v>
      </c>
      <c r="E148" s="96">
        <f>unit_prices!D25</f>
        <v>1530.9593516209475</v>
      </c>
      <c r="F148" s="24">
        <f t="shared" si="16"/>
        <v>0</v>
      </c>
      <c r="G148" s="89"/>
      <c r="H148" s="103">
        <v>0.08</v>
      </c>
      <c r="I148" s="5"/>
    </row>
    <row r="149" spans="1:9" ht="11.4" x14ac:dyDescent="0.2">
      <c r="A149" s="33" t="s">
        <v>103</v>
      </c>
      <c r="B149" s="58" t="s">
        <v>751</v>
      </c>
      <c r="C149" s="21" t="s">
        <v>10</v>
      </c>
      <c r="D149" s="22"/>
      <c r="E149" s="30"/>
      <c r="F149" s="24">
        <f>SUM(F150:F151)</f>
        <v>0</v>
      </c>
      <c r="G149" s="89"/>
      <c r="H149" s="93"/>
      <c r="I149" s="5"/>
    </row>
    <row r="150" spans="1:9" ht="13.2" x14ac:dyDescent="0.2">
      <c r="A150" s="33" t="s">
        <v>104</v>
      </c>
      <c r="B150" s="58" t="s">
        <v>753</v>
      </c>
      <c r="C150" s="21" t="s">
        <v>213</v>
      </c>
      <c r="D150" s="88">
        <f>iocosts!B58</f>
        <v>0</v>
      </c>
      <c r="E150" s="96">
        <f>unit_prices!D19</f>
        <v>11.000997506234413</v>
      </c>
      <c r="F150" s="24">
        <f>D150*E150/1000</f>
        <v>0</v>
      </c>
      <c r="G150" s="89"/>
      <c r="I150" s="5"/>
    </row>
    <row r="151" spans="1:9" ht="13.2" x14ac:dyDescent="0.2">
      <c r="A151" s="33" t="s">
        <v>105</v>
      </c>
      <c r="B151" s="58" t="s">
        <v>752</v>
      </c>
      <c r="C151" s="34" t="s">
        <v>214</v>
      </c>
      <c r="D151" s="88">
        <f>iocosts!B59</f>
        <v>0</v>
      </c>
      <c r="E151" s="96">
        <f>unit_prices!D20</f>
        <v>4.6049875311720694</v>
      </c>
      <c r="F151" s="24">
        <f t="shared" ref="F151" si="17">D151*E151/1000</f>
        <v>0</v>
      </c>
      <c r="G151" s="89"/>
      <c r="I151" s="5"/>
    </row>
    <row r="152" spans="1:9" ht="11.4" x14ac:dyDescent="0.2">
      <c r="A152" s="33" t="s">
        <v>106</v>
      </c>
      <c r="B152" s="58" t="s">
        <v>656</v>
      </c>
      <c r="C152" s="21" t="s">
        <v>23</v>
      </c>
      <c r="D152" s="102">
        <v>2</v>
      </c>
      <c r="E152" s="99">
        <f>SUM(F135,F140:F144,F149,F145)*1000</f>
        <v>666903.14214463835</v>
      </c>
      <c r="F152" s="24">
        <f>D152/100*E152/1000</f>
        <v>13.338062842892766</v>
      </c>
      <c r="G152" s="89"/>
      <c r="H152" s="90"/>
      <c r="I152" s="5"/>
    </row>
    <row r="153" spans="1:9" ht="11.4" x14ac:dyDescent="0.2">
      <c r="A153" s="33" t="s">
        <v>107</v>
      </c>
      <c r="B153" s="58" t="s">
        <v>754</v>
      </c>
      <c r="C153" s="21" t="s">
        <v>10</v>
      </c>
      <c r="D153" s="22"/>
      <c r="E153" s="30"/>
      <c r="F153" s="24">
        <f>SUM(F154,F157:F158,F162,F165)</f>
        <v>0</v>
      </c>
      <c r="G153" s="89"/>
      <c r="H153" s="90"/>
      <c r="I153" s="5"/>
    </row>
    <row r="154" spans="1:9" ht="11.4" x14ac:dyDescent="0.2">
      <c r="A154" s="27" t="s">
        <v>220</v>
      </c>
      <c r="B154" s="58" t="s">
        <v>692</v>
      </c>
      <c r="C154" s="21" t="s">
        <v>10</v>
      </c>
      <c r="D154" s="22"/>
      <c r="E154" s="30"/>
      <c r="F154" s="24">
        <f>SUM(F155:F156)</f>
        <v>0</v>
      </c>
      <c r="G154" s="89"/>
      <c r="H154" s="76"/>
      <c r="I154" s="5"/>
    </row>
    <row r="155" spans="1:9" ht="11.4" x14ac:dyDescent="0.2">
      <c r="A155" s="20" t="s">
        <v>221</v>
      </c>
      <c r="B155" s="58" t="s">
        <v>732</v>
      </c>
      <c r="C155" s="21" t="s">
        <v>69</v>
      </c>
      <c r="D155" s="88">
        <f>iocosts!B60</f>
        <v>0</v>
      </c>
      <c r="E155" s="96">
        <f>unit_prices!D5</f>
        <v>5.9476309226932669</v>
      </c>
      <c r="F155" s="24">
        <f>D155*E155/1000</f>
        <v>0</v>
      </c>
      <c r="G155" s="89"/>
      <c r="H155" s="71"/>
      <c r="I155" s="5"/>
    </row>
    <row r="156" spans="1:9" ht="11.4" x14ac:dyDescent="0.2">
      <c r="A156" s="20" t="s">
        <v>222</v>
      </c>
      <c r="B156" s="58" t="s">
        <v>734</v>
      </c>
      <c r="C156" s="21" t="s">
        <v>69</v>
      </c>
      <c r="D156" s="88">
        <f>iocosts!B61</f>
        <v>0</v>
      </c>
      <c r="E156" s="96">
        <f>unit_prices!D6</f>
        <v>27.04214463840399</v>
      </c>
      <c r="F156" s="24">
        <f t="shared" ref="F156" si="18">D156*E156/1000</f>
        <v>0</v>
      </c>
      <c r="G156" s="89"/>
      <c r="H156" s="5"/>
      <c r="I156" s="5"/>
    </row>
    <row r="157" spans="1:9" ht="11.4" x14ac:dyDescent="0.2">
      <c r="A157" s="31" t="s">
        <v>223</v>
      </c>
      <c r="B157" s="58" t="s">
        <v>736</v>
      </c>
      <c r="C157" s="21" t="s">
        <v>4</v>
      </c>
      <c r="D157" s="88">
        <f>iocosts!B62</f>
        <v>0</v>
      </c>
      <c r="E157" s="96">
        <f>unit_prices!D11</f>
        <v>44.644887780548629</v>
      </c>
      <c r="F157" s="23">
        <f>D157*E157/1000</f>
        <v>0</v>
      </c>
      <c r="G157" s="89"/>
      <c r="H157" s="5"/>
      <c r="I157" s="5"/>
    </row>
    <row r="158" spans="1:9" ht="11.4" x14ac:dyDescent="0.2">
      <c r="A158" s="31" t="s">
        <v>224</v>
      </c>
      <c r="B158" s="58" t="s">
        <v>696</v>
      </c>
      <c r="C158" s="21" t="s">
        <v>10</v>
      </c>
      <c r="D158" s="22"/>
      <c r="E158" s="30"/>
      <c r="F158" s="24">
        <f>SUM(F159:F161)</f>
        <v>0</v>
      </c>
      <c r="G158" s="89"/>
      <c r="H158" s="5"/>
      <c r="I158" s="5"/>
    </row>
    <row r="159" spans="1:9" ht="11.4" x14ac:dyDescent="0.2">
      <c r="A159" s="31" t="s">
        <v>225</v>
      </c>
      <c r="B159" s="58" t="s">
        <v>697</v>
      </c>
      <c r="C159" s="21" t="s">
        <v>75</v>
      </c>
      <c r="D159" s="98">
        <f>D160*H159</f>
        <v>0</v>
      </c>
      <c r="E159" s="96">
        <f>unit_prices!D21</f>
        <v>0</v>
      </c>
      <c r="F159" s="24">
        <f>D159*E159/1000</f>
        <v>0</v>
      </c>
      <c r="G159" s="89"/>
      <c r="H159" s="103">
        <v>0.25</v>
      </c>
      <c r="I159" s="5"/>
    </row>
    <row r="160" spans="1:9" ht="11.4" x14ac:dyDescent="0.2">
      <c r="A160" s="31" t="s">
        <v>226</v>
      </c>
      <c r="B160" s="58" t="s">
        <v>739</v>
      </c>
      <c r="C160" s="21" t="s">
        <v>69</v>
      </c>
      <c r="D160" s="88">
        <f>iocosts!B63</f>
        <v>0</v>
      </c>
      <c r="E160" s="96">
        <f>unit_prices!D22</f>
        <v>201.94114713216956</v>
      </c>
      <c r="F160" s="24">
        <f t="shared" ref="F160:F161" si="19">D160*E160/1000</f>
        <v>0</v>
      </c>
      <c r="G160" s="89"/>
      <c r="H160" s="93"/>
      <c r="I160" s="5"/>
    </row>
    <row r="161" spans="1:9" ht="11.4" x14ac:dyDescent="0.2">
      <c r="A161" s="31" t="s">
        <v>227</v>
      </c>
      <c r="B161" s="58" t="s">
        <v>741</v>
      </c>
      <c r="C161" s="21" t="s">
        <v>75</v>
      </c>
      <c r="D161" s="98">
        <f>D160*H161</f>
        <v>0</v>
      </c>
      <c r="E161" s="96">
        <f>unit_prices!D25</f>
        <v>1530.9593516209475</v>
      </c>
      <c r="F161" s="24">
        <f t="shared" si="19"/>
        <v>0</v>
      </c>
      <c r="G161" s="89"/>
      <c r="H161" s="103">
        <v>0.01</v>
      </c>
      <c r="I161" s="5"/>
    </row>
    <row r="162" spans="1:9" ht="11.4" x14ac:dyDescent="0.2">
      <c r="A162" s="31" t="s">
        <v>229</v>
      </c>
      <c r="B162" s="58" t="s">
        <v>755</v>
      </c>
      <c r="C162" s="21" t="s">
        <v>10</v>
      </c>
      <c r="D162" s="22"/>
      <c r="E162" s="30"/>
      <c r="F162" s="24">
        <f>SUM(F163:F164)</f>
        <v>0</v>
      </c>
      <c r="G162" s="89"/>
      <c r="H162" s="76"/>
      <c r="I162" s="5"/>
    </row>
    <row r="163" spans="1:9" ht="11.4" x14ac:dyDescent="0.2">
      <c r="A163" s="31" t="s">
        <v>230</v>
      </c>
      <c r="B163" s="58" t="s">
        <v>697</v>
      </c>
      <c r="C163" s="21" t="s">
        <v>75</v>
      </c>
      <c r="D163" s="98">
        <f>D164*H163</f>
        <v>0</v>
      </c>
      <c r="E163" s="96">
        <f>unit_prices!D21</f>
        <v>0</v>
      </c>
      <c r="F163" s="24">
        <f>D163*E163/1000</f>
        <v>0</v>
      </c>
      <c r="G163" s="89"/>
      <c r="H163" s="103">
        <v>0.1</v>
      </c>
      <c r="I163" s="5"/>
    </row>
    <row r="164" spans="1:9" ht="11.4" x14ac:dyDescent="0.2">
      <c r="A164" s="31" t="s">
        <v>231</v>
      </c>
      <c r="B164" s="58" t="s">
        <v>739</v>
      </c>
      <c r="C164" s="21" t="s">
        <v>69</v>
      </c>
      <c r="D164" s="88">
        <f>iocosts!B64</f>
        <v>0</v>
      </c>
      <c r="E164" s="96">
        <f>unit_prices!D23</f>
        <v>106.82493765586035</v>
      </c>
      <c r="F164" s="24">
        <f t="shared" ref="F164" si="20">D164*E164/1000</f>
        <v>0</v>
      </c>
      <c r="G164" s="89"/>
      <c r="H164" s="90"/>
      <c r="I164" s="5"/>
    </row>
    <row r="165" spans="1:9" ht="11.4" x14ac:dyDescent="0.2">
      <c r="A165" s="32" t="s">
        <v>228</v>
      </c>
      <c r="B165" s="58" t="s">
        <v>656</v>
      </c>
      <c r="C165" s="21" t="s">
        <v>23</v>
      </c>
      <c r="D165" s="102">
        <v>2</v>
      </c>
      <c r="E165" s="99">
        <f>SUM(F154,F157:F158,F162)*1000</f>
        <v>0</v>
      </c>
      <c r="F165" s="24">
        <f>D165/100*E165/1000</f>
        <v>0</v>
      </c>
      <c r="G165" s="89"/>
      <c r="I165" s="5"/>
    </row>
    <row r="166" spans="1:9" ht="11.4" x14ac:dyDescent="0.2">
      <c r="A166" s="33" t="s">
        <v>108</v>
      </c>
      <c r="B166" s="58" t="s">
        <v>756</v>
      </c>
      <c r="C166" s="21" t="s">
        <v>10</v>
      </c>
      <c r="D166" s="22"/>
      <c r="E166" s="30"/>
      <c r="F166" s="24">
        <f>SUM(F167,F170:F171,F175)</f>
        <v>1066.274139052369</v>
      </c>
      <c r="G166" s="89"/>
      <c r="H166" s="92"/>
      <c r="I166" s="5"/>
    </row>
    <row r="167" spans="1:9" ht="11.4" x14ac:dyDescent="0.2">
      <c r="A167" s="27" t="s">
        <v>109</v>
      </c>
      <c r="B167" s="58" t="s">
        <v>692</v>
      </c>
      <c r="C167" s="21" t="s">
        <v>10</v>
      </c>
      <c r="D167" s="22"/>
      <c r="E167" s="30"/>
      <c r="F167" s="24">
        <f>SUM(F168:F169)</f>
        <v>87.074064837905226</v>
      </c>
      <c r="G167" s="89"/>
      <c r="H167" s="92"/>
      <c r="I167" s="5"/>
    </row>
    <row r="168" spans="1:9" ht="11.4" x14ac:dyDescent="0.2">
      <c r="A168" s="20" t="s">
        <v>110</v>
      </c>
      <c r="B168" s="58" t="s">
        <v>732</v>
      </c>
      <c r="C168" s="21" t="s">
        <v>69</v>
      </c>
      <c r="D168" s="88">
        <f>iocosts!B65</f>
        <v>1000</v>
      </c>
      <c r="E168" s="96">
        <f>unit_prices!D5</f>
        <v>5.9476309226932669</v>
      </c>
      <c r="F168" s="24">
        <f>D168*E168/1000</f>
        <v>5.9476309226932669</v>
      </c>
      <c r="G168" s="89"/>
      <c r="H168" s="73"/>
      <c r="I168" s="5"/>
    </row>
    <row r="169" spans="1:9" ht="11.4" x14ac:dyDescent="0.2">
      <c r="A169" s="20" t="s">
        <v>111</v>
      </c>
      <c r="B169" s="58" t="s">
        <v>734</v>
      </c>
      <c r="C169" s="21" t="s">
        <v>69</v>
      </c>
      <c r="D169" s="88">
        <f>iocosts!B66</f>
        <v>3000</v>
      </c>
      <c r="E169" s="96">
        <f>unit_prices!D6</f>
        <v>27.04214463840399</v>
      </c>
      <c r="F169" s="24">
        <f t="shared" ref="F169" si="21">D169*E169/1000</f>
        <v>81.126433915211962</v>
      </c>
      <c r="G169" s="89"/>
      <c r="H169" s="5"/>
      <c r="I169" s="5"/>
    </row>
    <row r="170" spans="1:9" ht="11.4" x14ac:dyDescent="0.2">
      <c r="A170" s="31" t="s">
        <v>112</v>
      </c>
      <c r="B170" s="58" t="s">
        <v>736</v>
      </c>
      <c r="C170" s="21" t="s">
        <v>4</v>
      </c>
      <c r="D170" s="88">
        <f>iocosts!B67</f>
        <v>2000</v>
      </c>
      <c r="E170" s="96">
        <f>unit_prices!D11</f>
        <v>44.644887780548629</v>
      </c>
      <c r="F170" s="23">
        <f>D170*E170/1000</f>
        <v>89.289775561097258</v>
      </c>
      <c r="G170" s="89"/>
      <c r="H170" s="5"/>
      <c r="I170" s="5"/>
    </row>
    <row r="171" spans="1:9" ht="11.4" x14ac:dyDescent="0.2">
      <c r="A171" s="31" t="s">
        <v>113</v>
      </c>
      <c r="B171" s="58" t="s">
        <v>696</v>
      </c>
      <c r="C171" s="21" t="s">
        <v>10</v>
      </c>
      <c r="D171" s="22"/>
      <c r="E171" s="30"/>
      <c r="F171" s="24">
        <f>SUM(F172:F174)</f>
        <v>869.00296259351614</v>
      </c>
      <c r="G171" s="89"/>
      <c r="H171" s="5"/>
      <c r="I171" s="5"/>
    </row>
    <row r="172" spans="1:9" ht="11.4" x14ac:dyDescent="0.2">
      <c r="A172" s="31" t="s">
        <v>114</v>
      </c>
      <c r="B172" s="58" t="s">
        <v>697</v>
      </c>
      <c r="C172" s="21" t="s">
        <v>75</v>
      </c>
      <c r="D172" s="98">
        <f>D173*H172</f>
        <v>600</v>
      </c>
      <c r="E172" s="96">
        <f>unit_prices!D21</f>
        <v>0</v>
      </c>
      <c r="F172" s="24">
        <f>D172*E172/1000</f>
        <v>0</v>
      </c>
      <c r="G172" s="89"/>
      <c r="H172" s="103">
        <v>0.15</v>
      </c>
      <c r="I172" s="5"/>
    </row>
    <row r="173" spans="1:9" ht="11.4" x14ac:dyDescent="0.2">
      <c r="A173" s="31" t="s">
        <v>115</v>
      </c>
      <c r="B173" s="58" t="s">
        <v>739</v>
      </c>
      <c r="C173" s="21" t="s">
        <v>69</v>
      </c>
      <c r="D173" s="88">
        <f>iocosts!B68</f>
        <v>4000</v>
      </c>
      <c r="E173" s="96">
        <f>unit_prices!D22</f>
        <v>201.94114713216956</v>
      </c>
      <c r="F173" s="24">
        <f t="shared" ref="F173:F174" si="22">D173*E173/1000</f>
        <v>807.76458852867825</v>
      </c>
      <c r="G173" s="89"/>
      <c r="H173" s="93"/>
      <c r="I173" s="5"/>
    </row>
    <row r="174" spans="1:9" ht="11.4" x14ac:dyDescent="0.2">
      <c r="A174" s="31" t="s">
        <v>116</v>
      </c>
      <c r="B174" s="58" t="s">
        <v>741</v>
      </c>
      <c r="C174" s="21" t="s">
        <v>75</v>
      </c>
      <c r="D174" s="98">
        <f>D173*H174</f>
        <v>40</v>
      </c>
      <c r="E174" s="96">
        <f>unit_prices!D25</f>
        <v>1530.9593516209475</v>
      </c>
      <c r="F174" s="24">
        <f t="shared" si="22"/>
        <v>61.238374064837906</v>
      </c>
      <c r="G174" s="89"/>
      <c r="H174" s="103">
        <v>0.01</v>
      </c>
      <c r="I174" s="5"/>
    </row>
    <row r="175" spans="1:9" ht="11.4" x14ac:dyDescent="0.2">
      <c r="A175" s="32" t="s">
        <v>117</v>
      </c>
      <c r="B175" s="58" t="s">
        <v>656</v>
      </c>
      <c r="C175" s="21" t="s">
        <v>23</v>
      </c>
      <c r="D175" s="102">
        <v>2</v>
      </c>
      <c r="E175" s="30">
        <f>SUM(F167,F170:F171)*1000</f>
        <v>1045366.8029925186</v>
      </c>
      <c r="F175" s="24">
        <f>D175/100*E175/1000</f>
        <v>20.907336059850376</v>
      </c>
      <c r="G175" s="89"/>
      <c r="H175" s="5"/>
      <c r="I175" s="5"/>
    </row>
    <row r="176" spans="1:9" ht="12" x14ac:dyDescent="0.2">
      <c r="A176" s="42" t="s">
        <v>118</v>
      </c>
      <c r="B176" s="57" t="s">
        <v>757</v>
      </c>
      <c r="C176" s="21"/>
      <c r="D176" s="22"/>
      <c r="E176" s="30"/>
      <c r="F176" s="24">
        <f>SUM(F177,F195)</f>
        <v>4564.8878603491266</v>
      </c>
      <c r="G176" s="89"/>
      <c r="H176" s="5"/>
      <c r="I176" s="5"/>
    </row>
    <row r="177" spans="1:9" ht="11.4" x14ac:dyDescent="0.2">
      <c r="A177" s="20" t="s">
        <v>119</v>
      </c>
      <c r="B177" s="58" t="s">
        <v>758</v>
      </c>
      <c r="C177" s="21" t="s">
        <v>10</v>
      </c>
      <c r="D177" s="22"/>
      <c r="E177" s="30"/>
      <c r="F177" s="24">
        <f>SUM(F178,F181:F182,F186,F189,F194)</f>
        <v>4564.8878603491266</v>
      </c>
      <c r="G177" s="89"/>
      <c r="H177" s="76"/>
      <c r="I177" s="5"/>
    </row>
    <row r="178" spans="1:9" ht="11.4" x14ac:dyDescent="0.2">
      <c r="A178" s="20" t="s">
        <v>120</v>
      </c>
      <c r="B178" s="58" t="s">
        <v>692</v>
      </c>
      <c r="C178" s="21" t="s">
        <v>10</v>
      </c>
      <c r="D178" s="22"/>
      <c r="E178" s="30"/>
      <c r="F178" s="24">
        <f>SUM(F179:F180)</f>
        <v>130.61109725685785</v>
      </c>
      <c r="G178" s="89"/>
      <c r="H178" s="76"/>
      <c r="I178" s="5"/>
    </row>
    <row r="179" spans="1:9" ht="11.4" x14ac:dyDescent="0.2">
      <c r="A179" s="20" t="s">
        <v>121</v>
      </c>
      <c r="B179" s="58" t="s">
        <v>732</v>
      </c>
      <c r="C179" s="21" t="s">
        <v>69</v>
      </c>
      <c r="D179" s="88">
        <f>iocosts!B75+iocosts!B69+iocosts!B72</f>
        <v>1500</v>
      </c>
      <c r="E179" s="96">
        <f>unit_prices!D5</f>
        <v>5.9476309226932669</v>
      </c>
      <c r="F179" s="24">
        <f>D179*E179/1000</f>
        <v>8.9214463840398999</v>
      </c>
      <c r="G179" s="89"/>
      <c r="H179" s="76"/>
      <c r="I179" s="5"/>
    </row>
    <row r="180" spans="1:9" ht="11.4" x14ac:dyDescent="0.2">
      <c r="A180" s="20" t="s">
        <v>122</v>
      </c>
      <c r="B180" s="58" t="s">
        <v>734</v>
      </c>
      <c r="C180" s="21" t="s">
        <v>69</v>
      </c>
      <c r="D180" s="88">
        <f>iocosts!B76+iocosts!B70+iocosts!B73</f>
        <v>4500</v>
      </c>
      <c r="E180" s="96">
        <f>unit_prices!D6</f>
        <v>27.04214463840399</v>
      </c>
      <c r="F180" s="24">
        <f>D180*E180/1000</f>
        <v>121.68965087281795</v>
      </c>
      <c r="G180" s="89"/>
      <c r="H180" s="76"/>
      <c r="I180" s="5"/>
    </row>
    <row r="181" spans="1:9" ht="11.4" x14ac:dyDescent="0.2">
      <c r="A181" s="20" t="s">
        <v>123</v>
      </c>
      <c r="B181" s="58" t="s">
        <v>736</v>
      </c>
      <c r="C181" s="21" t="s">
        <v>4</v>
      </c>
      <c r="D181" s="88">
        <f>iocosts!B77</f>
        <v>2000</v>
      </c>
      <c r="E181" s="96">
        <f>unit_prices!D11</f>
        <v>44.644887780548629</v>
      </c>
      <c r="F181" s="24">
        <f>D181*E181/1000</f>
        <v>89.289775561097258</v>
      </c>
      <c r="G181" s="89"/>
      <c r="H181" s="92"/>
      <c r="I181" s="5"/>
    </row>
    <row r="182" spans="1:9" ht="11.4" x14ac:dyDescent="0.2">
      <c r="A182" s="20" t="s">
        <v>124</v>
      </c>
      <c r="B182" s="58" t="s">
        <v>696</v>
      </c>
      <c r="C182" s="21" t="s">
        <v>10</v>
      </c>
      <c r="D182" s="22"/>
      <c r="E182" s="22"/>
      <c r="F182" s="24">
        <f>SUM(F183:F185)</f>
        <v>2784.8911471321694</v>
      </c>
      <c r="G182" s="89"/>
      <c r="H182" s="73"/>
      <c r="I182" s="5"/>
    </row>
    <row r="183" spans="1:9" ht="11.4" x14ac:dyDescent="0.2">
      <c r="A183" s="20" t="s">
        <v>125</v>
      </c>
      <c r="B183" s="58" t="s">
        <v>697</v>
      </c>
      <c r="C183" s="21" t="s">
        <v>75</v>
      </c>
      <c r="D183" s="98">
        <f>D184*H183</f>
        <v>2500</v>
      </c>
      <c r="E183" s="96">
        <f>unit_prices!D21</f>
        <v>0</v>
      </c>
      <c r="F183" s="24">
        <f>D183*E183/1000</f>
        <v>0</v>
      </c>
      <c r="G183" s="89"/>
      <c r="H183" s="103">
        <v>0.25</v>
      </c>
      <c r="I183" s="5"/>
    </row>
    <row r="184" spans="1:9" ht="11.4" x14ac:dyDescent="0.2">
      <c r="A184" s="20" t="s">
        <v>126</v>
      </c>
      <c r="B184" s="58" t="s">
        <v>739</v>
      </c>
      <c r="C184" s="21" t="s">
        <v>69</v>
      </c>
      <c r="D184" s="88">
        <f>iocosts!B78</f>
        <v>10000</v>
      </c>
      <c r="E184" s="96">
        <f>unit_prices!D22</f>
        <v>201.94114713216956</v>
      </c>
      <c r="F184" s="24">
        <f>D184*E184/1000</f>
        <v>2019.4114713216957</v>
      </c>
      <c r="G184" s="89"/>
      <c r="H184" s="93"/>
      <c r="I184" s="5"/>
    </row>
    <row r="185" spans="1:9" ht="11.4" x14ac:dyDescent="0.2">
      <c r="A185" s="20" t="s">
        <v>127</v>
      </c>
      <c r="B185" s="58" t="s">
        <v>741</v>
      </c>
      <c r="C185" s="21" t="s">
        <v>75</v>
      </c>
      <c r="D185" s="98">
        <f>D184*H185</f>
        <v>500</v>
      </c>
      <c r="E185" s="96">
        <f>unit_prices!D25</f>
        <v>1530.9593516209475</v>
      </c>
      <c r="F185" s="24">
        <f>D185*E185/1000</f>
        <v>765.47967581047374</v>
      </c>
      <c r="G185" s="89"/>
      <c r="H185" s="103">
        <v>0.05</v>
      </c>
      <c r="I185" s="5"/>
    </row>
    <row r="186" spans="1:9" ht="11.4" x14ac:dyDescent="0.2">
      <c r="A186" s="33" t="s">
        <v>864</v>
      </c>
      <c r="B186" s="162" t="s">
        <v>867</v>
      </c>
      <c r="C186" s="21" t="s">
        <v>10</v>
      </c>
      <c r="F186" s="24">
        <f>SUM(F187:F188)</f>
        <v>0</v>
      </c>
      <c r="G186" s="89"/>
      <c r="H186" s="90"/>
      <c r="I186" s="5"/>
    </row>
    <row r="187" spans="1:9" ht="11.4" x14ac:dyDescent="0.2">
      <c r="A187" s="33" t="s">
        <v>865</v>
      </c>
      <c r="B187" s="162" t="s">
        <v>697</v>
      </c>
      <c r="C187" s="21" t="s">
        <v>75</v>
      </c>
      <c r="D187" s="98">
        <f>D188*H187</f>
        <v>0</v>
      </c>
      <c r="E187" s="96">
        <f>unit_prices!D21</f>
        <v>0</v>
      </c>
      <c r="F187" s="24">
        <f>D187*E187/1000</f>
        <v>0</v>
      </c>
      <c r="G187" s="89"/>
      <c r="H187" s="103">
        <v>0.15</v>
      </c>
      <c r="I187" s="5"/>
    </row>
    <row r="188" spans="1:9" ht="11.4" x14ac:dyDescent="0.2">
      <c r="A188" s="33" t="s">
        <v>866</v>
      </c>
      <c r="B188" s="162" t="s">
        <v>698</v>
      </c>
      <c r="C188" s="21" t="s">
        <v>69</v>
      </c>
      <c r="D188" s="88">
        <f>iocosts!B71+iocosts!B74</f>
        <v>0</v>
      </c>
      <c r="E188" s="96">
        <f>unit_prices!D23</f>
        <v>106.82493765586035</v>
      </c>
      <c r="F188" s="24">
        <f t="shared" ref="F188" si="23">D188*E188/1000</f>
        <v>0</v>
      </c>
      <c r="G188" s="89"/>
      <c r="H188" s="90"/>
      <c r="I188" s="5"/>
    </row>
    <row r="189" spans="1:9" ht="11.4" x14ac:dyDescent="0.2">
      <c r="A189" s="20" t="s">
        <v>128</v>
      </c>
      <c r="B189" s="58" t="s">
        <v>743</v>
      </c>
      <c r="C189" s="21" t="s">
        <v>10</v>
      </c>
      <c r="D189" s="22"/>
      <c r="E189" s="22"/>
      <c r="F189" s="24">
        <f>SUM(F190:F193)</f>
        <v>1500</v>
      </c>
      <c r="G189" s="89"/>
      <c r="H189" s="5"/>
      <c r="I189" s="5"/>
    </row>
    <row r="190" spans="1:9" ht="11.4" x14ac:dyDescent="0.2">
      <c r="A190" s="20" t="s">
        <v>129</v>
      </c>
      <c r="B190" s="58" t="s">
        <v>763</v>
      </c>
      <c r="C190" s="21" t="s">
        <v>89</v>
      </c>
      <c r="D190" s="104">
        <f>iocosts!B79</f>
        <v>2</v>
      </c>
      <c r="E190" s="105">
        <f>iocosts!B80</f>
        <v>429000</v>
      </c>
      <c r="F190" s="24">
        <f>D190*E190/1000</f>
        <v>858</v>
      </c>
      <c r="G190" s="89"/>
      <c r="H190" s="5"/>
      <c r="I190" s="5"/>
    </row>
    <row r="191" spans="1:9" ht="11.4" x14ac:dyDescent="0.2">
      <c r="A191" s="20" t="s">
        <v>131</v>
      </c>
      <c r="B191" s="58" t="s">
        <v>759</v>
      </c>
      <c r="C191" s="21" t="s">
        <v>89</v>
      </c>
      <c r="D191" s="104">
        <f>iocosts!B81</f>
        <v>1</v>
      </c>
      <c r="E191" s="105">
        <f>iocosts!B82</f>
        <v>186000</v>
      </c>
      <c r="F191" s="24">
        <f t="shared" ref="F191:F193" si="24">D191*E191/1000</f>
        <v>186</v>
      </c>
      <c r="G191" s="89"/>
      <c r="H191" s="5"/>
      <c r="I191" s="5"/>
    </row>
    <row r="192" spans="1:9" ht="11.4" x14ac:dyDescent="0.2">
      <c r="A192" s="20" t="s">
        <v>132</v>
      </c>
      <c r="B192" s="58" t="s">
        <v>762</v>
      </c>
      <c r="C192" s="21" t="s">
        <v>89</v>
      </c>
      <c r="D192" s="98">
        <v>1</v>
      </c>
      <c r="E192" s="105">
        <f>iocosts!B83</f>
        <v>268000</v>
      </c>
      <c r="F192" s="24">
        <f t="shared" si="24"/>
        <v>268</v>
      </c>
      <c r="G192" s="89"/>
      <c r="H192" s="5"/>
      <c r="I192" s="5"/>
    </row>
    <row r="193" spans="1:9" ht="11.4" x14ac:dyDescent="0.2">
      <c r="A193" s="20" t="s">
        <v>130</v>
      </c>
      <c r="B193" s="58" t="s">
        <v>760</v>
      </c>
      <c r="C193" s="21" t="s">
        <v>89</v>
      </c>
      <c r="D193" s="98">
        <v>1</v>
      </c>
      <c r="E193" s="105">
        <f>iocosts!B84</f>
        <v>188000</v>
      </c>
      <c r="F193" s="24">
        <f t="shared" si="24"/>
        <v>188</v>
      </c>
      <c r="G193" s="89"/>
      <c r="H193" s="5"/>
      <c r="I193" s="5"/>
    </row>
    <row r="194" spans="1:9" ht="11.4" x14ac:dyDescent="0.2">
      <c r="A194" s="31" t="s">
        <v>133</v>
      </c>
      <c r="B194" s="58" t="s">
        <v>656</v>
      </c>
      <c r="C194" s="21" t="s">
        <v>23</v>
      </c>
      <c r="D194" s="102">
        <v>2</v>
      </c>
      <c r="E194" s="30">
        <f>SUM(F178,F181:F182,F186)*1000</f>
        <v>3004792.0199501244</v>
      </c>
      <c r="F194" s="24">
        <f>D194/100*E194/1000</f>
        <v>60.095840399002491</v>
      </c>
      <c r="G194" s="89"/>
      <c r="H194" s="5"/>
      <c r="I194" s="5"/>
    </row>
    <row r="195" spans="1:9" ht="11.4" x14ac:dyDescent="0.2">
      <c r="A195" s="33" t="s">
        <v>134</v>
      </c>
      <c r="B195" s="58" t="s">
        <v>764</v>
      </c>
      <c r="C195" s="21" t="s">
        <v>10</v>
      </c>
      <c r="D195" s="22"/>
      <c r="E195" s="30"/>
      <c r="F195" s="24">
        <f>SUM(F196,F199:F200,F204,F209)</f>
        <v>0</v>
      </c>
      <c r="G195" s="89"/>
      <c r="H195" s="5"/>
      <c r="I195" s="5"/>
    </row>
    <row r="196" spans="1:9" ht="11.4" x14ac:dyDescent="0.2">
      <c r="A196" s="20" t="s">
        <v>260</v>
      </c>
      <c r="B196" s="58" t="s">
        <v>692</v>
      </c>
      <c r="C196" s="21" t="s">
        <v>10</v>
      </c>
      <c r="D196" s="22"/>
      <c r="E196" s="30"/>
      <c r="F196" s="24">
        <f>SUM(F197:F198)</f>
        <v>0</v>
      </c>
      <c r="G196" s="89"/>
      <c r="H196" s="76"/>
      <c r="I196" s="5"/>
    </row>
    <row r="197" spans="1:9" ht="11.4" x14ac:dyDescent="0.2">
      <c r="A197" s="20" t="s">
        <v>261</v>
      </c>
      <c r="B197" s="58" t="s">
        <v>732</v>
      </c>
      <c r="C197" s="21" t="s">
        <v>69</v>
      </c>
      <c r="D197" s="88">
        <v>0</v>
      </c>
      <c r="E197" s="96">
        <f>unit_prices!D5</f>
        <v>5.9476309226932669</v>
      </c>
      <c r="F197" s="24">
        <f>D197*E197/1000</f>
        <v>0</v>
      </c>
      <c r="G197" s="89"/>
      <c r="H197" s="76"/>
      <c r="I197" s="5"/>
    </row>
    <row r="198" spans="1:9" ht="11.4" x14ac:dyDescent="0.2">
      <c r="A198" s="20" t="s">
        <v>262</v>
      </c>
      <c r="B198" s="58" t="s">
        <v>734</v>
      </c>
      <c r="C198" s="21" t="s">
        <v>69</v>
      </c>
      <c r="D198" s="88">
        <v>0</v>
      </c>
      <c r="E198" s="96">
        <f>unit_prices!D6</f>
        <v>27.04214463840399</v>
      </c>
      <c r="F198" s="24">
        <f>D198*E198/1000</f>
        <v>0</v>
      </c>
      <c r="G198" s="89"/>
      <c r="H198" s="76"/>
      <c r="I198" s="5"/>
    </row>
    <row r="199" spans="1:9" ht="11.4" x14ac:dyDescent="0.2">
      <c r="A199" s="20" t="s">
        <v>263</v>
      </c>
      <c r="B199" s="58" t="s">
        <v>736</v>
      </c>
      <c r="C199" s="21" t="s">
        <v>4</v>
      </c>
      <c r="D199" s="88">
        <v>0</v>
      </c>
      <c r="E199" s="96">
        <f>unit_prices!D11</f>
        <v>44.644887780548629</v>
      </c>
      <c r="F199" s="24">
        <f>D199*E199/1000</f>
        <v>0</v>
      </c>
      <c r="G199" s="89"/>
      <c r="H199" s="92"/>
      <c r="I199" s="5"/>
    </row>
    <row r="200" spans="1:9" ht="11.4" x14ac:dyDescent="0.2">
      <c r="A200" s="20" t="s">
        <v>264</v>
      </c>
      <c r="B200" s="58" t="s">
        <v>696</v>
      </c>
      <c r="C200" s="21" t="s">
        <v>10</v>
      </c>
      <c r="D200" s="22"/>
      <c r="E200" s="22"/>
      <c r="F200" s="24">
        <f>SUM(F201:F203)</f>
        <v>0</v>
      </c>
      <c r="G200" s="89"/>
      <c r="H200" s="73"/>
      <c r="I200" s="5"/>
    </row>
    <row r="201" spans="1:9" ht="11.4" x14ac:dyDescent="0.2">
      <c r="A201" s="20" t="s">
        <v>265</v>
      </c>
      <c r="B201" s="58" t="s">
        <v>697</v>
      </c>
      <c r="C201" s="21" t="s">
        <v>75</v>
      </c>
      <c r="D201" s="98">
        <f>D202*H201</f>
        <v>0</v>
      </c>
      <c r="E201" s="96">
        <f>unit_prices!D21</f>
        <v>0</v>
      </c>
      <c r="F201" s="24">
        <f>D201*E201/1000</f>
        <v>0</v>
      </c>
      <c r="G201" s="89"/>
      <c r="H201" s="103">
        <v>0.25</v>
      </c>
      <c r="I201" s="5"/>
    </row>
    <row r="202" spans="1:9" ht="11.4" x14ac:dyDescent="0.2">
      <c r="A202" s="20" t="s">
        <v>266</v>
      </c>
      <c r="B202" s="58" t="s">
        <v>739</v>
      </c>
      <c r="C202" s="21" t="s">
        <v>69</v>
      </c>
      <c r="D202" s="88">
        <v>0</v>
      </c>
      <c r="E202" s="96">
        <f>unit_prices!D22</f>
        <v>201.94114713216956</v>
      </c>
      <c r="F202" s="24">
        <f>D202*E202/1000</f>
        <v>0</v>
      </c>
      <c r="G202" s="89"/>
      <c r="H202" s="93"/>
      <c r="I202" s="5"/>
    </row>
    <row r="203" spans="1:9" ht="11.4" x14ac:dyDescent="0.2">
      <c r="A203" s="20" t="s">
        <v>267</v>
      </c>
      <c r="B203" s="58" t="s">
        <v>741</v>
      </c>
      <c r="C203" s="21" t="s">
        <v>75</v>
      </c>
      <c r="D203" s="98">
        <f>D202*H203</f>
        <v>0</v>
      </c>
      <c r="E203" s="96">
        <f>unit_prices!D25</f>
        <v>1530.9593516209475</v>
      </c>
      <c r="F203" s="24">
        <f>D203*E203/1000</f>
        <v>0</v>
      </c>
      <c r="G203" s="89"/>
      <c r="H203" s="103">
        <v>0.05</v>
      </c>
      <c r="I203" s="5"/>
    </row>
    <row r="204" spans="1:9" ht="11.4" x14ac:dyDescent="0.2">
      <c r="A204" s="20" t="s">
        <v>268</v>
      </c>
      <c r="B204" s="58" t="s">
        <v>743</v>
      </c>
      <c r="C204" s="21" t="s">
        <v>10</v>
      </c>
      <c r="D204" s="22"/>
      <c r="E204" s="22"/>
      <c r="F204" s="24">
        <f>SUM(F205:F208)</f>
        <v>0</v>
      </c>
      <c r="G204" s="89"/>
      <c r="H204" s="5"/>
      <c r="I204" s="5"/>
    </row>
    <row r="205" spans="1:9" ht="11.4" x14ac:dyDescent="0.2">
      <c r="A205" s="20" t="s">
        <v>269</v>
      </c>
      <c r="B205" s="58" t="s">
        <v>768</v>
      </c>
      <c r="C205" s="21" t="s">
        <v>89</v>
      </c>
      <c r="D205" s="104"/>
      <c r="E205" s="105"/>
      <c r="F205" s="24">
        <f>D205*E205/1000</f>
        <v>0</v>
      </c>
      <c r="G205" s="89"/>
      <c r="H205" s="5"/>
      <c r="I205" s="5"/>
    </row>
    <row r="206" spans="1:9" ht="11.4" x14ac:dyDescent="0.2">
      <c r="A206" s="20" t="s">
        <v>270</v>
      </c>
      <c r="B206" s="58" t="s">
        <v>759</v>
      </c>
      <c r="C206" s="21" t="s">
        <v>89</v>
      </c>
      <c r="D206" s="104"/>
      <c r="E206" s="105"/>
      <c r="F206" s="24">
        <f t="shared" ref="F206:F208" si="25">D206*E206/1000</f>
        <v>0</v>
      </c>
      <c r="G206" s="89"/>
      <c r="H206" s="5"/>
      <c r="I206" s="5"/>
    </row>
    <row r="207" spans="1:9" ht="11.4" x14ac:dyDescent="0.2">
      <c r="A207" s="20" t="s">
        <v>271</v>
      </c>
      <c r="B207" s="58" t="s">
        <v>762</v>
      </c>
      <c r="C207" s="21" t="s">
        <v>89</v>
      </c>
      <c r="D207" s="98">
        <v>1</v>
      </c>
      <c r="E207" s="105"/>
      <c r="F207" s="24">
        <f t="shared" si="25"/>
        <v>0</v>
      </c>
      <c r="G207" s="89"/>
      <c r="H207" s="5"/>
      <c r="I207" s="5"/>
    </row>
    <row r="208" spans="1:9" ht="11.4" x14ac:dyDescent="0.2">
      <c r="A208" s="20" t="s">
        <v>272</v>
      </c>
      <c r="B208" s="58" t="s">
        <v>760</v>
      </c>
      <c r="C208" s="21" t="s">
        <v>89</v>
      </c>
      <c r="D208" s="98">
        <v>1</v>
      </c>
      <c r="E208" s="105"/>
      <c r="F208" s="24">
        <f t="shared" si="25"/>
        <v>0</v>
      </c>
      <c r="G208" s="89"/>
      <c r="H208" s="5"/>
      <c r="I208" s="5"/>
    </row>
    <row r="209" spans="1:9" ht="11.4" x14ac:dyDescent="0.2">
      <c r="A209" s="31" t="s">
        <v>273</v>
      </c>
      <c r="B209" s="58" t="s">
        <v>656</v>
      </c>
      <c r="C209" s="21" t="s">
        <v>23</v>
      </c>
      <c r="D209" s="102">
        <v>2</v>
      </c>
      <c r="E209" s="30">
        <f>SUM(F196,F199:F200)*1000</f>
        <v>0</v>
      </c>
      <c r="F209" s="24">
        <f>D209/100*E209/1000</f>
        <v>0</v>
      </c>
      <c r="G209" s="89"/>
      <c r="H209" s="5"/>
      <c r="I209" s="5"/>
    </row>
    <row r="210" spans="1:9" ht="12" x14ac:dyDescent="0.2">
      <c r="A210" s="108" t="s">
        <v>135</v>
      </c>
      <c r="B210" s="57" t="s">
        <v>765</v>
      </c>
      <c r="C210" s="21"/>
      <c r="D210" s="22"/>
      <c r="E210" s="30"/>
      <c r="F210" s="24">
        <f>SUM(F211,F230,F253,F268,F281,F296)</f>
        <v>10109.063596593676</v>
      </c>
      <c r="G210" s="89"/>
      <c r="H210" s="5"/>
      <c r="I210" s="5"/>
    </row>
    <row r="211" spans="1:9" ht="11.4" x14ac:dyDescent="0.2">
      <c r="A211" s="33" t="s">
        <v>136</v>
      </c>
      <c r="B211" s="58" t="s">
        <v>766</v>
      </c>
      <c r="C211" s="21" t="s">
        <v>10</v>
      </c>
      <c r="D211" s="22"/>
      <c r="E211" s="30"/>
      <c r="F211" s="24">
        <f>SUM(F212,F215,F216,F220,F223,F229)</f>
        <v>1357.9631856359101</v>
      </c>
      <c r="G211" s="89"/>
      <c r="H211" s="76"/>
      <c r="I211" s="5"/>
    </row>
    <row r="212" spans="1:9" ht="11.4" x14ac:dyDescent="0.2">
      <c r="A212" s="27" t="s">
        <v>137</v>
      </c>
      <c r="B212" s="58" t="s">
        <v>715</v>
      </c>
      <c r="C212" s="21" t="s">
        <v>10</v>
      </c>
      <c r="D212" s="22"/>
      <c r="E212" s="30"/>
      <c r="F212" s="24">
        <f>SUM(F213:F214)</f>
        <v>21.308553615960101</v>
      </c>
      <c r="G212" s="89"/>
      <c r="H212" s="76"/>
      <c r="I212" s="5"/>
    </row>
    <row r="213" spans="1:9" ht="11.4" x14ac:dyDescent="0.2">
      <c r="A213" s="33" t="s">
        <v>138</v>
      </c>
      <c r="B213" s="58" t="s">
        <v>733</v>
      </c>
      <c r="C213" s="21" t="s">
        <v>69</v>
      </c>
      <c r="D213" s="88">
        <f>iocosts!B85+iocosts!B95</f>
        <v>400</v>
      </c>
      <c r="E213" s="96">
        <f>unit_prices!D5</f>
        <v>5.9476309226932669</v>
      </c>
      <c r="F213" s="24">
        <f>D213*E213/1000</f>
        <v>2.3790523690773067</v>
      </c>
      <c r="G213" s="89"/>
      <c r="H213" s="90"/>
      <c r="I213" s="5"/>
    </row>
    <row r="214" spans="1:9" ht="11.4" x14ac:dyDescent="0.2">
      <c r="A214" s="33" t="s">
        <v>139</v>
      </c>
      <c r="B214" s="58" t="s">
        <v>735</v>
      </c>
      <c r="C214" s="21" t="s">
        <v>69</v>
      </c>
      <c r="D214" s="88">
        <f>iocosts!B86+iocosts!B96</f>
        <v>700</v>
      </c>
      <c r="E214" s="96">
        <f>unit_prices!D6</f>
        <v>27.04214463840399</v>
      </c>
      <c r="F214" s="24">
        <f>D214*E214/1000</f>
        <v>18.929501246882793</v>
      </c>
      <c r="G214" s="84"/>
      <c r="H214" s="90"/>
      <c r="I214" s="5"/>
    </row>
    <row r="215" spans="1:9" ht="11.4" x14ac:dyDescent="0.2">
      <c r="A215" s="33" t="s">
        <v>140</v>
      </c>
      <c r="B215" s="58" t="s">
        <v>737</v>
      </c>
      <c r="C215" s="21" t="s">
        <v>4</v>
      </c>
      <c r="D215" s="88">
        <f>iocosts!B97</f>
        <v>100</v>
      </c>
      <c r="E215" s="96">
        <f>unit_prices!D11</f>
        <v>44.644887780548629</v>
      </c>
      <c r="F215" s="24">
        <f>D215*E215/1000</f>
        <v>4.4644887780548634</v>
      </c>
      <c r="G215" s="89"/>
      <c r="H215" s="76"/>
      <c r="I215" s="5"/>
    </row>
    <row r="216" spans="1:9" ht="11.4" x14ac:dyDescent="0.2">
      <c r="A216" s="33" t="s">
        <v>141</v>
      </c>
      <c r="B216" s="58" t="s">
        <v>719</v>
      </c>
      <c r="C216" s="21" t="s">
        <v>10</v>
      </c>
      <c r="F216" s="24">
        <f>SUM(F217:F219)</f>
        <v>293.79870822942644</v>
      </c>
      <c r="G216" s="89"/>
      <c r="I216" s="5"/>
    </row>
    <row r="217" spans="1:9" ht="11.4" x14ac:dyDescent="0.2">
      <c r="A217" s="33" t="s">
        <v>142</v>
      </c>
      <c r="B217" s="58" t="s">
        <v>720</v>
      </c>
      <c r="C217" s="21" t="s">
        <v>75</v>
      </c>
      <c r="D217" s="98">
        <f>D218*H217</f>
        <v>300</v>
      </c>
      <c r="E217" s="96">
        <f>unit_prices!D21</f>
        <v>0</v>
      </c>
      <c r="F217" s="24">
        <f>D217*E217/1000</f>
        <v>0</v>
      </c>
      <c r="G217" s="89"/>
      <c r="H217" s="103">
        <v>0.3</v>
      </c>
      <c r="I217" s="5"/>
    </row>
    <row r="218" spans="1:9" ht="11.4" x14ac:dyDescent="0.2">
      <c r="A218" s="33" t="s">
        <v>143</v>
      </c>
      <c r="B218" s="58" t="s">
        <v>740</v>
      </c>
      <c r="C218" s="21" t="s">
        <v>69</v>
      </c>
      <c r="D218" s="88">
        <f>iocosts!B98</f>
        <v>1000</v>
      </c>
      <c r="E218" s="96">
        <f>unit_prices!D22</f>
        <v>201.94114713216956</v>
      </c>
      <c r="F218" s="24">
        <f t="shared" ref="F218:F219" si="26">D218*E218/1000</f>
        <v>201.94114713216956</v>
      </c>
      <c r="G218" s="89"/>
      <c r="H218" s="93"/>
      <c r="I218" s="5"/>
    </row>
    <row r="219" spans="1:9" ht="11.4" x14ac:dyDescent="0.2">
      <c r="A219" s="33" t="s">
        <v>144</v>
      </c>
      <c r="B219" s="58" t="s">
        <v>742</v>
      </c>
      <c r="C219" s="21" t="s">
        <v>75</v>
      </c>
      <c r="D219" s="98">
        <f>D218*H219</f>
        <v>60</v>
      </c>
      <c r="E219" s="96">
        <f>unit_prices!D25</f>
        <v>1530.9593516209475</v>
      </c>
      <c r="F219" s="24">
        <f t="shared" si="26"/>
        <v>91.857561097256848</v>
      </c>
      <c r="G219" s="84"/>
      <c r="H219" s="103">
        <v>0.06</v>
      </c>
      <c r="I219" s="5"/>
    </row>
    <row r="220" spans="1:9" ht="11.4" x14ac:dyDescent="0.2">
      <c r="A220" s="33" t="s">
        <v>868</v>
      </c>
      <c r="B220" s="58" t="s">
        <v>863</v>
      </c>
      <c r="C220" s="21" t="s">
        <v>10</v>
      </c>
      <c r="F220" s="24">
        <f>SUM(F221:F222)</f>
        <v>0</v>
      </c>
      <c r="G220" s="89"/>
      <c r="H220" s="90"/>
      <c r="I220" s="5"/>
    </row>
    <row r="221" spans="1:9" ht="11.4" x14ac:dyDescent="0.2">
      <c r="A221" s="33" t="s">
        <v>869</v>
      </c>
      <c r="B221" s="58" t="s">
        <v>720</v>
      </c>
      <c r="C221" s="21" t="s">
        <v>75</v>
      </c>
      <c r="D221" s="98">
        <f>D222*H221</f>
        <v>0</v>
      </c>
      <c r="E221" s="96">
        <f>unit_prices!D21</f>
        <v>0</v>
      </c>
      <c r="F221" s="24">
        <f>D221*E221/1000</f>
        <v>0</v>
      </c>
      <c r="G221" s="89"/>
      <c r="H221" s="103">
        <v>0.15</v>
      </c>
      <c r="I221" s="5"/>
    </row>
    <row r="222" spans="1:9" ht="11.4" x14ac:dyDescent="0.2">
      <c r="A222" s="33" t="s">
        <v>870</v>
      </c>
      <c r="B222" s="58" t="s">
        <v>721</v>
      </c>
      <c r="C222" s="21" t="s">
        <v>69</v>
      </c>
      <c r="D222" s="88">
        <f>iocosts!B87</f>
        <v>0</v>
      </c>
      <c r="E222" s="96">
        <f>unit_prices!D23</f>
        <v>106.82493765586035</v>
      </c>
      <c r="F222" s="24">
        <f t="shared" ref="F222" si="27">D222*E222/1000</f>
        <v>0</v>
      </c>
      <c r="G222" s="89"/>
      <c r="H222" s="90"/>
      <c r="I222" s="5"/>
    </row>
    <row r="223" spans="1:9" ht="11.4" x14ac:dyDescent="0.2">
      <c r="A223" s="33" t="s">
        <v>145</v>
      </c>
      <c r="B223" s="58" t="s">
        <v>725</v>
      </c>
      <c r="C223" s="21" t="s">
        <v>10</v>
      </c>
      <c r="D223" s="22"/>
      <c r="E223" s="22"/>
      <c r="F223" s="24">
        <f>SUM(F224:F228)</f>
        <v>1032</v>
      </c>
      <c r="G223" s="89"/>
      <c r="H223" s="5"/>
      <c r="I223" s="5"/>
    </row>
    <row r="224" spans="1:9" ht="11.4" x14ac:dyDescent="0.2">
      <c r="A224" s="33" t="s">
        <v>146</v>
      </c>
      <c r="B224" s="58" t="s">
        <v>769</v>
      </c>
      <c r="C224" s="21" t="s">
        <v>89</v>
      </c>
      <c r="D224" s="104">
        <f>iocosts!B99</f>
        <v>2</v>
      </c>
      <c r="E224" s="105">
        <f>iocosts!B100</f>
        <v>173000</v>
      </c>
      <c r="F224" s="24">
        <f>D224*E224/1000</f>
        <v>346</v>
      </c>
      <c r="G224" s="89"/>
      <c r="H224" s="5"/>
      <c r="I224" s="5"/>
    </row>
    <row r="225" spans="1:9" ht="11.4" x14ac:dyDescent="0.2">
      <c r="A225" s="20" t="s">
        <v>147</v>
      </c>
      <c r="B225" s="58" t="s">
        <v>726</v>
      </c>
      <c r="C225" s="21" t="s">
        <v>89</v>
      </c>
      <c r="D225" s="104">
        <f>iocosts!B101</f>
        <v>1</v>
      </c>
      <c r="E225" s="105">
        <f>iocosts!B102</f>
        <v>20000</v>
      </c>
      <c r="F225" s="24">
        <f>D225*E225/1000</f>
        <v>20</v>
      </c>
      <c r="G225" s="84"/>
      <c r="H225" s="5"/>
      <c r="I225" s="5"/>
    </row>
    <row r="226" spans="1:9" ht="11.4" x14ac:dyDescent="0.2">
      <c r="A226" s="33" t="s">
        <v>148</v>
      </c>
      <c r="B226" s="58" t="s">
        <v>727</v>
      </c>
      <c r="C226" s="21" t="s">
        <v>89</v>
      </c>
      <c r="D226" s="98">
        <v>1</v>
      </c>
      <c r="E226" s="105">
        <f>iocosts!B105</f>
        <v>170000</v>
      </c>
      <c r="F226" s="24">
        <f>D226*E226/1000</f>
        <v>170</v>
      </c>
      <c r="G226" s="89"/>
      <c r="H226" s="5"/>
      <c r="I226" s="5"/>
    </row>
    <row r="227" spans="1:9" ht="11.4" x14ac:dyDescent="0.2">
      <c r="A227" s="20" t="s">
        <v>149</v>
      </c>
      <c r="B227" s="58" t="s">
        <v>767</v>
      </c>
      <c r="C227" s="21" t="s">
        <v>89</v>
      </c>
      <c r="D227" s="98">
        <v>1</v>
      </c>
      <c r="E227" s="105">
        <f>iocosts!B103</f>
        <v>95000</v>
      </c>
      <c r="F227" s="24">
        <f>D227*E227/1000</f>
        <v>95</v>
      </c>
      <c r="G227" s="89"/>
      <c r="H227" s="5"/>
      <c r="I227" s="5"/>
    </row>
    <row r="228" spans="1:9" ht="11.4" x14ac:dyDescent="0.2">
      <c r="A228" s="20" t="s">
        <v>150</v>
      </c>
      <c r="B228" s="58" t="s">
        <v>890</v>
      </c>
      <c r="C228" s="21" t="s">
        <v>89</v>
      </c>
      <c r="D228" s="98">
        <v>1</v>
      </c>
      <c r="E228" s="105">
        <f>iocosts!B104</f>
        <v>401000</v>
      </c>
      <c r="F228" s="24">
        <f>D228*E228/1000</f>
        <v>401</v>
      </c>
      <c r="G228" s="89"/>
      <c r="H228" s="5"/>
      <c r="I228" s="5"/>
    </row>
    <row r="229" spans="1:9" ht="11.4" x14ac:dyDescent="0.2">
      <c r="A229" s="20" t="s">
        <v>151</v>
      </c>
      <c r="B229" s="58" t="s">
        <v>724</v>
      </c>
      <c r="C229" s="21" t="s">
        <v>23</v>
      </c>
      <c r="D229" s="102">
        <v>2</v>
      </c>
      <c r="E229" s="30">
        <f>SUM(F212,F215:F216,F220)*1000</f>
        <v>319571.75062344142</v>
      </c>
      <c r="F229" s="24">
        <f>D229/100*E229/1000</f>
        <v>6.3914350124688282</v>
      </c>
      <c r="G229" s="89"/>
      <c r="H229" s="5"/>
      <c r="I229" s="5"/>
    </row>
    <row r="230" spans="1:9" ht="11.4" x14ac:dyDescent="0.2">
      <c r="A230" s="20" t="s">
        <v>152</v>
      </c>
      <c r="B230" s="58" t="s">
        <v>771</v>
      </c>
      <c r="C230" s="21" t="s">
        <v>10</v>
      </c>
      <c r="D230" s="22"/>
      <c r="E230" s="30"/>
      <c r="F230" s="24">
        <f>SUM(F231,F234:F235,F239,F243,F246,F252)</f>
        <v>940.06553266832918</v>
      </c>
      <c r="G230" s="89"/>
      <c r="H230" s="5"/>
      <c r="I230" s="5"/>
    </row>
    <row r="231" spans="1:9" ht="11.4" x14ac:dyDescent="0.2">
      <c r="A231" s="20" t="s">
        <v>153</v>
      </c>
      <c r="B231" s="58" t="s">
        <v>715</v>
      </c>
      <c r="C231" s="21" t="s">
        <v>10</v>
      </c>
      <c r="D231" s="22"/>
      <c r="E231" s="30"/>
      <c r="F231" s="24">
        <f>SUM(F232:F233)</f>
        <v>0</v>
      </c>
      <c r="G231" s="89"/>
      <c r="H231" s="5"/>
      <c r="I231" s="5"/>
    </row>
    <row r="232" spans="1:9" ht="11.4" x14ac:dyDescent="0.2">
      <c r="A232" s="20" t="s">
        <v>154</v>
      </c>
      <c r="B232" s="58" t="s">
        <v>733</v>
      </c>
      <c r="C232" s="21" t="s">
        <v>69</v>
      </c>
      <c r="D232" s="88">
        <f>iocosts!B106+iocosts!B107</f>
        <v>0</v>
      </c>
      <c r="E232" s="96">
        <f>unit_prices!D5</f>
        <v>5.9476309226932669</v>
      </c>
      <c r="F232" s="24">
        <f>D232*E232/1000</f>
        <v>0</v>
      </c>
      <c r="G232" s="84"/>
      <c r="H232" s="5"/>
      <c r="I232" s="5"/>
    </row>
    <row r="233" spans="1:9" ht="11.4" x14ac:dyDescent="0.2">
      <c r="A233" s="20" t="s">
        <v>155</v>
      </c>
      <c r="B233" s="58" t="s">
        <v>735</v>
      </c>
      <c r="C233" s="21" t="s">
        <v>69</v>
      </c>
      <c r="D233" s="88">
        <f>iocosts!B109+iocosts!B110</f>
        <v>0</v>
      </c>
      <c r="E233" s="96">
        <f>unit_prices!D6</f>
        <v>27.04214463840399</v>
      </c>
      <c r="F233" s="24">
        <f>D233*E233/1000</f>
        <v>0</v>
      </c>
      <c r="G233" s="89"/>
      <c r="H233" s="5"/>
      <c r="I233" s="5"/>
    </row>
    <row r="234" spans="1:9" ht="11.4" x14ac:dyDescent="0.2">
      <c r="A234" s="20" t="s">
        <v>156</v>
      </c>
      <c r="B234" s="58" t="s">
        <v>737</v>
      </c>
      <c r="C234" s="21" t="s">
        <v>4</v>
      </c>
      <c r="D234" s="88">
        <f>iocosts!B111+iocosts!B112</f>
        <v>10550</v>
      </c>
      <c r="E234" s="96">
        <f>IF(iocosts!B111+iocosts!B112=0,0,(unit_prices!D10*iocosts!B111+unit_prices!D11*iocosts!B112)/(iocosts!B111+iocosts!B112))</f>
        <v>7.9049839855337964</v>
      </c>
      <c r="F234" s="24">
        <f>D234*E234/1000</f>
        <v>83.39758104738155</v>
      </c>
      <c r="G234" s="89"/>
      <c r="H234" s="163"/>
      <c r="I234" s="5"/>
    </row>
    <row r="235" spans="1:9" ht="11.4" x14ac:dyDescent="0.2">
      <c r="A235" s="20" t="s">
        <v>157</v>
      </c>
      <c r="B235" s="58" t="s">
        <v>719</v>
      </c>
      <c r="C235" s="21" t="s">
        <v>10</v>
      </c>
      <c r="D235" s="22"/>
      <c r="E235" s="30"/>
      <c r="F235" s="24">
        <f>SUM(F236:F238)</f>
        <v>0</v>
      </c>
      <c r="G235" s="89"/>
      <c r="H235" s="5"/>
      <c r="I235" s="5"/>
    </row>
    <row r="236" spans="1:9" ht="11.4" x14ac:dyDescent="0.2">
      <c r="A236" s="20" t="s">
        <v>158</v>
      </c>
      <c r="B236" s="58" t="s">
        <v>720</v>
      </c>
      <c r="C236" s="21" t="s">
        <v>75</v>
      </c>
      <c r="D236" s="98">
        <f>D237*H236</f>
        <v>0</v>
      </c>
      <c r="E236" s="96">
        <f>unit_prices!D21</f>
        <v>0</v>
      </c>
      <c r="F236" s="24">
        <f>D236*E236/1000</f>
        <v>0</v>
      </c>
      <c r="G236" s="89"/>
      <c r="H236" s="103">
        <v>0.25</v>
      </c>
      <c r="I236" s="5"/>
    </row>
    <row r="237" spans="1:9" ht="11.4" x14ac:dyDescent="0.2">
      <c r="A237" s="20" t="s">
        <v>159</v>
      </c>
      <c r="B237" s="58" t="s">
        <v>721</v>
      </c>
      <c r="C237" s="21" t="s">
        <v>69</v>
      </c>
      <c r="D237" s="88">
        <f>iocosts!B113+iocosts!B114</f>
        <v>0</v>
      </c>
      <c r="E237" s="96">
        <f>unit_prices!D22</f>
        <v>201.94114713216956</v>
      </c>
      <c r="F237" s="24">
        <f>D237*E237/1000</f>
        <v>0</v>
      </c>
      <c r="G237" s="89"/>
      <c r="H237" s="93"/>
      <c r="I237" s="5"/>
    </row>
    <row r="238" spans="1:9" ht="11.4" x14ac:dyDescent="0.2">
      <c r="A238" s="20" t="s">
        <v>160</v>
      </c>
      <c r="B238" s="58" t="s">
        <v>742</v>
      </c>
      <c r="C238" s="21" t="s">
        <v>75</v>
      </c>
      <c r="D238" s="98">
        <f>D237*H238</f>
        <v>0</v>
      </c>
      <c r="E238" s="96">
        <f>unit_prices!D25</f>
        <v>1530.9593516209475</v>
      </c>
      <c r="F238" s="24">
        <f>D238*E238/1000</f>
        <v>0</v>
      </c>
      <c r="G238" s="89"/>
      <c r="H238" s="103">
        <v>0.05</v>
      </c>
      <c r="I238" s="5"/>
    </row>
    <row r="239" spans="1:9" ht="11.4" x14ac:dyDescent="0.2">
      <c r="A239" s="20" t="s">
        <v>157</v>
      </c>
      <c r="B239" s="58" t="s">
        <v>723</v>
      </c>
      <c r="C239" s="21" t="s">
        <v>10</v>
      </c>
      <c r="F239" s="24">
        <f>SUM(F240:F242)</f>
        <v>0</v>
      </c>
      <c r="G239" s="89"/>
      <c r="H239" s="93"/>
      <c r="I239" s="5"/>
    </row>
    <row r="240" spans="1:9" ht="11.4" x14ac:dyDescent="0.2">
      <c r="A240" s="20" t="s">
        <v>158</v>
      </c>
      <c r="B240" s="58" t="s">
        <v>720</v>
      </c>
      <c r="C240" s="21" t="s">
        <v>75</v>
      </c>
      <c r="D240" s="98">
        <f>D241*H240</f>
        <v>0</v>
      </c>
      <c r="E240" s="96">
        <f>unit_prices!D21</f>
        <v>0</v>
      </c>
      <c r="F240" s="24">
        <f>D240*E240/1000</f>
        <v>0</v>
      </c>
      <c r="G240" s="89"/>
      <c r="H240" s="103">
        <v>0.3</v>
      </c>
      <c r="I240" s="5"/>
    </row>
    <row r="241" spans="1:9" ht="11.4" x14ac:dyDescent="0.2">
      <c r="A241" s="20" t="s">
        <v>159</v>
      </c>
      <c r="B241" s="58" t="s">
        <v>740</v>
      </c>
      <c r="C241" s="21" t="s">
        <v>69</v>
      </c>
      <c r="D241" s="88">
        <f>iocosts!B115</f>
        <v>0</v>
      </c>
      <c r="E241" s="96">
        <f>unit_prices!D24</f>
        <v>289.67780548628429</v>
      </c>
      <c r="F241" s="24">
        <f t="shared" ref="F241:F242" si="28">D241*E241/1000</f>
        <v>0</v>
      </c>
      <c r="G241" s="89"/>
      <c r="H241" s="93"/>
      <c r="I241" s="5"/>
    </row>
    <row r="242" spans="1:9" ht="11.4" x14ac:dyDescent="0.2">
      <c r="A242" s="20" t="s">
        <v>160</v>
      </c>
      <c r="B242" s="58" t="s">
        <v>742</v>
      </c>
      <c r="C242" s="21" t="s">
        <v>75</v>
      </c>
      <c r="D242" s="98">
        <f>D241*H242</f>
        <v>0</v>
      </c>
      <c r="E242" s="96">
        <f>unit_prices!D25</f>
        <v>1530.9593516209475</v>
      </c>
      <c r="F242" s="24">
        <f t="shared" si="28"/>
        <v>0</v>
      </c>
      <c r="G242" s="89"/>
      <c r="H242" s="103">
        <v>7.0000000000000007E-2</v>
      </c>
      <c r="I242" s="5"/>
    </row>
    <row r="243" spans="1:9" ht="11.4" x14ac:dyDescent="0.2">
      <c r="A243" s="33" t="s">
        <v>157</v>
      </c>
      <c r="B243" s="58" t="s">
        <v>863</v>
      </c>
      <c r="C243" s="21" t="s">
        <v>10</v>
      </c>
      <c r="F243" s="24">
        <f>SUM(F244:F245)</f>
        <v>0</v>
      </c>
      <c r="G243" s="89"/>
      <c r="H243" s="90"/>
      <c r="I243" s="5"/>
    </row>
    <row r="244" spans="1:9" ht="11.4" x14ac:dyDescent="0.2">
      <c r="A244" s="33" t="s">
        <v>158</v>
      </c>
      <c r="B244" s="58" t="s">
        <v>720</v>
      </c>
      <c r="C244" s="21" t="s">
        <v>75</v>
      </c>
      <c r="D244" s="98">
        <f>D245*H244</f>
        <v>0</v>
      </c>
      <c r="E244" s="96">
        <f>unit_prices!D21</f>
        <v>0</v>
      </c>
      <c r="F244" s="24">
        <f>D244*E244/1000</f>
        <v>0</v>
      </c>
      <c r="G244" s="89"/>
      <c r="H244" s="103">
        <v>0.15</v>
      </c>
      <c r="I244" s="5"/>
    </row>
    <row r="245" spans="1:9" ht="11.4" x14ac:dyDescent="0.2">
      <c r="A245" s="33" t="s">
        <v>159</v>
      </c>
      <c r="B245" s="58" t="s">
        <v>721</v>
      </c>
      <c r="C245" s="21" t="s">
        <v>69</v>
      </c>
      <c r="D245" s="88">
        <f>iocosts!B108</f>
        <v>0</v>
      </c>
      <c r="E245" s="96">
        <f>unit_prices!D23</f>
        <v>106.82493765586035</v>
      </c>
      <c r="F245" s="24">
        <f t="shared" ref="F245" si="29">D245*E245/1000</f>
        <v>0</v>
      </c>
      <c r="G245" s="89"/>
      <c r="H245" s="90"/>
      <c r="I245" s="5"/>
    </row>
    <row r="246" spans="1:9" ht="11.4" x14ac:dyDescent="0.2">
      <c r="A246" s="33" t="s">
        <v>857</v>
      </c>
      <c r="B246" s="58" t="s">
        <v>725</v>
      </c>
      <c r="C246" s="21" t="s">
        <v>10</v>
      </c>
      <c r="D246" s="22"/>
      <c r="E246" s="22"/>
      <c r="F246" s="24">
        <f>SUM(F247:F251)</f>
        <v>855</v>
      </c>
      <c r="G246" s="89"/>
      <c r="H246" s="5"/>
      <c r="I246" s="5"/>
    </row>
    <row r="247" spans="1:9" ht="11.4" x14ac:dyDescent="0.2">
      <c r="A247" s="33" t="s">
        <v>858</v>
      </c>
      <c r="B247" s="58" t="s">
        <v>769</v>
      </c>
      <c r="C247" s="21" t="s">
        <v>89</v>
      </c>
      <c r="D247" s="104">
        <f>iocosts!B88</f>
        <v>2</v>
      </c>
      <c r="E247" s="105">
        <f>iocosts!B89</f>
        <v>150000</v>
      </c>
      <c r="F247" s="24">
        <f>D247*E247/1000</f>
        <v>300</v>
      </c>
      <c r="G247" s="89"/>
      <c r="H247" s="5"/>
      <c r="I247" s="5"/>
    </row>
    <row r="248" spans="1:9" ht="11.4" x14ac:dyDescent="0.2">
      <c r="A248" s="20" t="s">
        <v>859</v>
      </c>
      <c r="B248" s="58" t="s">
        <v>726</v>
      </c>
      <c r="C248" s="21" t="s">
        <v>89</v>
      </c>
      <c r="D248" s="104">
        <f>iocosts!B90</f>
        <v>1</v>
      </c>
      <c r="E248" s="105">
        <f>iocosts!B91</f>
        <v>15000</v>
      </c>
      <c r="F248" s="24">
        <f>D248*E248/1000</f>
        <v>15</v>
      </c>
      <c r="G248" s="89"/>
      <c r="H248" s="5"/>
      <c r="I248" s="5"/>
    </row>
    <row r="249" spans="1:9" ht="11.4" x14ac:dyDescent="0.2">
      <c r="A249" s="33" t="s">
        <v>860</v>
      </c>
      <c r="B249" s="58" t="s">
        <v>727</v>
      </c>
      <c r="C249" s="21" t="s">
        <v>89</v>
      </c>
      <c r="D249" s="98">
        <v>1</v>
      </c>
      <c r="E249" s="105">
        <f>iocosts!B94</f>
        <v>120000</v>
      </c>
      <c r="F249" s="24">
        <f>D249*E249/1000</f>
        <v>120</v>
      </c>
      <c r="G249" s="89"/>
      <c r="H249" s="5"/>
      <c r="I249" s="5"/>
    </row>
    <row r="250" spans="1:9" ht="11.4" x14ac:dyDescent="0.2">
      <c r="A250" s="20" t="s">
        <v>861</v>
      </c>
      <c r="B250" s="58" t="s">
        <v>767</v>
      </c>
      <c r="C250" s="21" t="s">
        <v>89</v>
      </c>
      <c r="D250" s="98">
        <v>1</v>
      </c>
      <c r="E250" s="105">
        <f>iocosts!B92</f>
        <v>70000</v>
      </c>
      <c r="F250" s="24">
        <f>D250*E250/1000</f>
        <v>70</v>
      </c>
      <c r="G250" s="89"/>
      <c r="H250" s="5"/>
      <c r="I250" s="5"/>
    </row>
    <row r="251" spans="1:9" ht="11.4" x14ac:dyDescent="0.2">
      <c r="A251" s="20" t="s">
        <v>862</v>
      </c>
      <c r="B251" s="58" t="s">
        <v>890</v>
      </c>
      <c r="C251" s="21" t="s">
        <v>89</v>
      </c>
      <c r="D251" s="98">
        <v>1</v>
      </c>
      <c r="E251" s="105">
        <f>iocosts!B93</f>
        <v>350000</v>
      </c>
      <c r="F251" s="24">
        <f>D251*E251/1000</f>
        <v>350</v>
      </c>
      <c r="G251" s="89"/>
      <c r="H251" s="5"/>
      <c r="I251" s="5"/>
    </row>
    <row r="252" spans="1:9" ht="11.4" x14ac:dyDescent="0.2">
      <c r="A252" s="20" t="s">
        <v>161</v>
      </c>
      <c r="B252" s="58" t="s">
        <v>724</v>
      </c>
      <c r="C252" s="21" t="s">
        <v>23</v>
      </c>
      <c r="D252" s="102">
        <v>2</v>
      </c>
      <c r="E252" s="30">
        <f>SUM(F231,F234:F235,F239,F243)*1000</f>
        <v>83397.581047381551</v>
      </c>
      <c r="F252" s="24">
        <f>D252/100*E252/1000</f>
        <v>1.6679516209476311</v>
      </c>
      <c r="G252" s="89"/>
      <c r="H252" s="5"/>
      <c r="I252" s="5"/>
    </row>
    <row r="253" spans="1:9" ht="11.4" x14ac:dyDescent="0.2">
      <c r="A253" s="20" t="s">
        <v>162</v>
      </c>
      <c r="B253" s="58" t="s">
        <v>772</v>
      </c>
      <c r="C253" s="21" t="s">
        <v>10</v>
      </c>
      <c r="D253" s="22"/>
      <c r="E253" s="30"/>
      <c r="F253" s="24">
        <f>SUM(F254,F258:F259,F263,F267)</f>
        <v>1451.7591509925187</v>
      </c>
      <c r="G253" s="84"/>
      <c r="H253" s="5"/>
      <c r="I253" s="5"/>
    </row>
    <row r="254" spans="1:9" ht="11.4" x14ac:dyDescent="0.2">
      <c r="A254" s="20" t="s">
        <v>153</v>
      </c>
      <c r="B254" s="58" t="s">
        <v>715</v>
      </c>
      <c r="C254" s="21" t="s">
        <v>10</v>
      </c>
      <c r="D254" s="22"/>
      <c r="E254" s="30"/>
      <c r="F254" s="24">
        <f>SUM(F255:F257)</f>
        <v>615.36359102244387</v>
      </c>
      <c r="G254" s="89"/>
      <c r="H254" s="5"/>
      <c r="I254" s="5"/>
    </row>
    <row r="255" spans="1:9" ht="11.4" x14ac:dyDescent="0.2">
      <c r="A255" s="20" t="s">
        <v>154</v>
      </c>
      <c r="B255" s="58" t="s">
        <v>733</v>
      </c>
      <c r="C255" s="21" t="s">
        <v>69</v>
      </c>
      <c r="D255" s="88">
        <f>iocosts!B116</f>
        <v>0</v>
      </c>
      <c r="E255" s="96">
        <f>unit_prices!D5</f>
        <v>5.9476309226932669</v>
      </c>
      <c r="F255" s="24">
        <f>D255*E255/1000</f>
        <v>0</v>
      </c>
      <c r="G255" s="84"/>
      <c r="H255" s="5"/>
      <c r="I255" s="5"/>
    </row>
    <row r="256" spans="1:9" ht="11.4" x14ac:dyDescent="0.2">
      <c r="A256" s="20" t="s">
        <v>155</v>
      </c>
      <c r="B256" s="58" t="s">
        <v>735</v>
      </c>
      <c r="C256" s="21" t="s">
        <v>69</v>
      </c>
      <c r="D256" s="88">
        <f>iocosts!B117</f>
        <v>0</v>
      </c>
      <c r="E256" s="96">
        <f>unit_prices!D6</f>
        <v>27.04214463840399</v>
      </c>
      <c r="F256" s="24">
        <f>D256*E256/1000</f>
        <v>0</v>
      </c>
      <c r="G256" s="89"/>
      <c r="H256" s="5"/>
      <c r="I256" s="5"/>
    </row>
    <row r="257" spans="1:9" ht="11.4" x14ac:dyDescent="0.2">
      <c r="A257" s="20" t="s">
        <v>274</v>
      </c>
      <c r="B257" s="58" t="s">
        <v>738</v>
      </c>
      <c r="C257" s="21" t="s">
        <v>69</v>
      </c>
      <c r="D257" s="88">
        <f>iocosts!B118</f>
        <v>4000</v>
      </c>
      <c r="E257" s="96">
        <f>unit_prices!D7</f>
        <v>153.84089775561097</v>
      </c>
      <c r="F257" s="24">
        <f>D257*E257/1000</f>
        <v>615.36359102244387</v>
      </c>
      <c r="G257" s="89"/>
      <c r="H257" s="5"/>
      <c r="I257" s="5"/>
    </row>
    <row r="258" spans="1:9" ht="11.4" x14ac:dyDescent="0.2">
      <c r="A258" s="20" t="s">
        <v>156</v>
      </c>
      <c r="B258" s="58" t="s">
        <v>737</v>
      </c>
      <c r="C258" s="21" t="s">
        <v>4</v>
      </c>
      <c r="D258" s="88">
        <f>iocosts!B119+iocosts!B120</f>
        <v>1000</v>
      </c>
      <c r="E258" s="96">
        <f>IF(iocosts!B119+iocosts!B120=0,0,(unit_prices!D10*iocosts!B119+unit_prices!D11*iocosts!B120)/(iocosts!B119+iocosts!B120))</f>
        <v>5.88428927680798</v>
      </c>
      <c r="F258" s="24">
        <f>D258*E258/1000</f>
        <v>5.88428927680798</v>
      </c>
      <c r="G258" s="89"/>
      <c r="H258" s="163"/>
      <c r="I258" s="5"/>
    </row>
    <row r="259" spans="1:9" ht="11.4" x14ac:dyDescent="0.2">
      <c r="A259" s="20" t="s">
        <v>157</v>
      </c>
      <c r="B259" s="58" t="s">
        <v>719</v>
      </c>
      <c r="C259" s="21" t="s">
        <v>10</v>
      </c>
      <c r="D259" s="25"/>
      <c r="E259" s="26"/>
      <c r="F259" s="24">
        <f>SUM(F260:F262)</f>
        <v>167.09346882793017</v>
      </c>
      <c r="G259" s="89"/>
      <c r="H259" s="5"/>
      <c r="I259" s="5"/>
    </row>
    <row r="260" spans="1:9" ht="11.4" x14ac:dyDescent="0.2">
      <c r="A260" s="20" t="s">
        <v>158</v>
      </c>
      <c r="B260" s="58" t="s">
        <v>720</v>
      </c>
      <c r="C260" s="21" t="s">
        <v>75</v>
      </c>
      <c r="D260" s="98">
        <f>D261*H260</f>
        <v>150</v>
      </c>
      <c r="E260" s="96">
        <f>unit_prices!D21</f>
        <v>0</v>
      </c>
      <c r="F260" s="24">
        <f>D260*E260/1000</f>
        <v>0</v>
      </c>
      <c r="G260" s="89"/>
      <c r="H260" s="103">
        <f>IF(iocosts!B121+iocosts!B122=0,0,(0.25*iocosts!B121+0.27*iocosts!B122)/(iocosts!B121+iocosts!B122))</f>
        <v>0.25</v>
      </c>
      <c r="I260" s="5"/>
    </row>
    <row r="261" spans="1:9" ht="11.4" x14ac:dyDescent="0.2">
      <c r="A261" s="20" t="s">
        <v>159</v>
      </c>
      <c r="B261" s="58" t="s">
        <v>740</v>
      </c>
      <c r="C261" s="21" t="s">
        <v>69</v>
      </c>
      <c r="D261" s="88">
        <f>iocosts!B121+iocosts!B122</f>
        <v>600</v>
      </c>
      <c r="E261" s="96">
        <f>unit_prices!D22</f>
        <v>201.94114713216956</v>
      </c>
      <c r="F261" s="24">
        <f t="shared" ref="F261:F262" si="30">D261*E261/1000</f>
        <v>121.16468827930174</v>
      </c>
      <c r="G261" s="89"/>
      <c r="H261" s="93"/>
      <c r="I261" s="5"/>
    </row>
    <row r="262" spans="1:9" ht="11.4" x14ac:dyDescent="0.2">
      <c r="A262" s="20" t="s">
        <v>160</v>
      </c>
      <c r="B262" s="58" t="s">
        <v>742</v>
      </c>
      <c r="C262" s="21" t="s">
        <v>75</v>
      </c>
      <c r="D262" s="98">
        <f>D261*H262</f>
        <v>30</v>
      </c>
      <c r="E262" s="96">
        <f>unit_prices!D25</f>
        <v>1530.9593516209475</v>
      </c>
      <c r="F262" s="24">
        <f t="shared" si="30"/>
        <v>45.928780548628424</v>
      </c>
      <c r="G262" s="89"/>
      <c r="H262" s="103">
        <f>IF(iocosts!B121+iocosts!B122=0,0,(0.05*iocosts!B121+0.07*iocosts!B122)/(iocosts!B121+iocosts!B122))</f>
        <v>0.05</v>
      </c>
      <c r="I262" s="5"/>
    </row>
    <row r="263" spans="1:9" ht="11.4" x14ac:dyDescent="0.2">
      <c r="A263" s="20" t="s">
        <v>157</v>
      </c>
      <c r="B263" s="58" t="s">
        <v>723</v>
      </c>
      <c r="C263" s="21" t="s">
        <v>10</v>
      </c>
      <c r="D263" s="25"/>
      <c r="E263" s="26"/>
      <c r="F263" s="24">
        <f>SUM(F264:F266)</f>
        <v>634.95193615960102</v>
      </c>
      <c r="G263" s="89"/>
      <c r="H263" s="72"/>
      <c r="I263" s="5"/>
    </row>
    <row r="264" spans="1:9" ht="11.4" x14ac:dyDescent="0.2">
      <c r="A264" s="20" t="s">
        <v>158</v>
      </c>
      <c r="B264" s="58" t="s">
        <v>720</v>
      </c>
      <c r="C264" s="21" t="s">
        <v>75</v>
      </c>
      <c r="D264" s="98">
        <f>D265*H264</f>
        <v>480</v>
      </c>
      <c r="E264" s="96">
        <f>unit_prices!D21</f>
        <v>0</v>
      </c>
      <c r="F264" s="24">
        <f>D264*E264/1000</f>
        <v>0</v>
      </c>
      <c r="G264" s="89"/>
      <c r="H264" s="103">
        <v>0.3</v>
      </c>
      <c r="I264" s="5"/>
    </row>
    <row r="265" spans="1:9" ht="11.4" x14ac:dyDescent="0.2">
      <c r="A265" s="20" t="s">
        <v>159</v>
      </c>
      <c r="B265" s="58" t="s">
        <v>740</v>
      </c>
      <c r="C265" s="21" t="s">
        <v>69</v>
      </c>
      <c r="D265" s="88">
        <f>iocosts!B123</f>
        <v>1600</v>
      </c>
      <c r="E265" s="96">
        <f>unit_prices!D24</f>
        <v>289.67780548628429</v>
      </c>
      <c r="F265" s="24">
        <f t="shared" ref="F265:F266" si="31">D265*E265/1000</f>
        <v>463.48448877805481</v>
      </c>
      <c r="G265" s="89"/>
      <c r="H265" s="93"/>
      <c r="I265" s="5"/>
    </row>
    <row r="266" spans="1:9" ht="11.4" x14ac:dyDescent="0.2">
      <c r="A266" s="20" t="s">
        <v>160</v>
      </c>
      <c r="B266" s="58" t="s">
        <v>742</v>
      </c>
      <c r="C266" s="21" t="s">
        <v>75</v>
      </c>
      <c r="D266" s="98">
        <f>D265*H266</f>
        <v>112.00000000000001</v>
      </c>
      <c r="E266" s="96">
        <f>unit_prices!D25</f>
        <v>1530.9593516209475</v>
      </c>
      <c r="F266" s="24">
        <f t="shared" si="31"/>
        <v>171.46744738154615</v>
      </c>
      <c r="G266" s="89"/>
      <c r="H266" s="103">
        <v>7.0000000000000007E-2</v>
      </c>
      <c r="I266" s="5"/>
    </row>
    <row r="267" spans="1:9" ht="11.4" x14ac:dyDescent="0.2">
      <c r="A267" s="20" t="s">
        <v>161</v>
      </c>
      <c r="B267" s="58" t="s">
        <v>724</v>
      </c>
      <c r="C267" s="21" t="s">
        <v>23</v>
      </c>
      <c r="D267" s="102">
        <v>2</v>
      </c>
      <c r="E267" s="30">
        <f>SUM(F254,F258:F259,F263)*1000</f>
        <v>1423293.285286783</v>
      </c>
      <c r="F267" s="24">
        <f>D267/100*E267/1000</f>
        <v>28.465865705735663</v>
      </c>
      <c r="G267" s="89"/>
      <c r="H267" s="5"/>
      <c r="I267" s="5"/>
    </row>
    <row r="268" spans="1:9" ht="11.4" x14ac:dyDescent="0.2">
      <c r="A268" s="31" t="s">
        <v>163</v>
      </c>
      <c r="B268" s="58" t="s">
        <v>770</v>
      </c>
      <c r="C268" s="21" t="s">
        <v>10</v>
      </c>
      <c r="D268" s="22"/>
      <c r="E268" s="30"/>
      <c r="F268" s="24">
        <f>SUM(F269,F273:F274,F278,F280)</f>
        <v>560.8913763591022</v>
      </c>
      <c r="G268" s="89"/>
      <c r="I268" s="5"/>
    </row>
    <row r="269" spans="1:9" ht="11.4" x14ac:dyDescent="0.2">
      <c r="A269" s="20" t="s">
        <v>153</v>
      </c>
      <c r="B269" s="58" t="s">
        <v>715</v>
      </c>
      <c r="C269" s="21" t="s">
        <v>10</v>
      </c>
      <c r="D269" s="22"/>
      <c r="E269" s="30"/>
      <c r="F269" s="24">
        <f>SUM(F270:F272)</f>
        <v>104.31092269326685</v>
      </c>
      <c r="G269" s="89"/>
      <c r="H269" s="5"/>
      <c r="I269" s="5"/>
    </row>
    <row r="270" spans="1:9" ht="11.4" x14ac:dyDescent="0.2">
      <c r="A270" s="20" t="s">
        <v>154</v>
      </c>
      <c r="B270" s="58" t="s">
        <v>733</v>
      </c>
      <c r="C270" s="21" t="s">
        <v>69</v>
      </c>
      <c r="D270" s="88">
        <f>iocosts!B124</f>
        <v>200</v>
      </c>
      <c r="E270" s="96">
        <f>unit_prices!D5</f>
        <v>5.9476309226932669</v>
      </c>
      <c r="F270" s="24">
        <f>D270*E270/1000</f>
        <v>1.1895261845386533</v>
      </c>
      <c r="G270" s="84"/>
      <c r="H270" s="5"/>
      <c r="I270" s="5"/>
    </row>
    <row r="271" spans="1:9" ht="11.4" x14ac:dyDescent="0.2">
      <c r="A271" s="20" t="s">
        <v>155</v>
      </c>
      <c r="B271" s="58" t="s">
        <v>735</v>
      </c>
      <c r="C271" s="21" t="s">
        <v>69</v>
      </c>
      <c r="D271" s="88">
        <f>iocosts!B125</f>
        <v>400</v>
      </c>
      <c r="E271" s="96">
        <f>unit_prices!D6</f>
        <v>27.04214463840399</v>
      </c>
      <c r="F271" s="24">
        <f>D271*E271/1000</f>
        <v>10.816857855361595</v>
      </c>
      <c r="G271" s="89"/>
      <c r="H271" s="5"/>
      <c r="I271" s="5"/>
    </row>
    <row r="272" spans="1:9" ht="11.4" x14ac:dyDescent="0.2">
      <c r="A272" s="20" t="s">
        <v>274</v>
      </c>
      <c r="B272" s="58" t="s">
        <v>738</v>
      </c>
      <c r="C272" s="21" t="s">
        <v>69</v>
      </c>
      <c r="D272" s="88">
        <f>iocosts!B126</f>
        <v>600</v>
      </c>
      <c r="E272" s="96">
        <f>unit_prices!D7</f>
        <v>153.84089775561097</v>
      </c>
      <c r="F272" s="24">
        <f>D272*E272/1000</f>
        <v>92.304538653366592</v>
      </c>
      <c r="G272" s="89"/>
      <c r="H272" s="5"/>
      <c r="I272" s="5"/>
    </row>
    <row r="273" spans="1:9" ht="11.4" x14ac:dyDescent="0.2">
      <c r="A273" s="20" t="s">
        <v>156</v>
      </c>
      <c r="B273" s="58" t="s">
        <v>737</v>
      </c>
      <c r="C273" s="21" t="s">
        <v>4</v>
      </c>
      <c r="D273" s="88">
        <f>iocosts!B127</f>
        <v>0</v>
      </c>
      <c r="E273" s="96">
        <f>unit_prices!D11</f>
        <v>44.644887780548629</v>
      </c>
      <c r="F273" s="24">
        <f>D273*E273/1000</f>
        <v>0</v>
      </c>
      <c r="G273" s="89"/>
      <c r="H273" s="5"/>
      <c r="I273" s="5"/>
    </row>
    <row r="274" spans="1:9" ht="11.4" x14ac:dyDescent="0.2">
      <c r="A274" s="20" t="s">
        <v>157</v>
      </c>
      <c r="B274" s="58" t="s">
        <v>719</v>
      </c>
      <c r="C274" s="21" t="s">
        <v>10</v>
      </c>
      <c r="D274" s="25"/>
      <c r="E274" s="26"/>
      <c r="F274" s="24">
        <f>SUM(F275:F277)</f>
        <v>445.58258354114713</v>
      </c>
      <c r="G274" s="89"/>
      <c r="H274" s="5"/>
      <c r="I274" s="5"/>
    </row>
    <row r="275" spans="1:9" ht="11.4" x14ac:dyDescent="0.2">
      <c r="A275" s="20" t="s">
        <v>158</v>
      </c>
      <c r="B275" s="58" t="s">
        <v>720</v>
      </c>
      <c r="C275" s="21" t="s">
        <v>75</v>
      </c>
      <c r="D275" s="98">
        <f>D276*H275</f>
        <v>400</v>
      </c>
      <c r="E275" s="96">
        <f>unit_prices!D21</f>
        <v>0</v>
      </c>
      <c r="F275" s="24">
        <f>D275*E275/1000</f>
        <v>0</v>
      </c>
      <c r="G275" s="89"/>
      <c r="H275" s="103">
        <v>0.25</v>
      </c>
      <c r="I275" s="5"/>
    </row>
    <row r="276" spans="1:9" ht="11.4" x14ac:dyDescent="0.2">
      <c r="A276" s="20" t="s">
        <v>159</v>
      </c>
      <c r="B276" s="58" t="s">
        <v>740</v>
      </c>
      <c r="C276" s="21" t="s">
        <v>69</v>
      </c>
      <c r="D276" s="88">
        <f>iocosts!B123</f>
        <v>1600</v>
      </c>
      <c r="E276" s="96">
        <f>unit_prices!D22</f>
        <v>201.94114713216956</v>
      </c>
      <c r="F276" s="24">
        <f t="shared" ref="F276:F277" si="32">D276*E276/1000</f>
        <v>323.10583541147133</v>
      </c>
      <c r="G276" s="89"/>
      <c r="H276" s="93"/>
      <c r="I276" s="5"/>
    </row>
    <row r="277" spans="1:9" ht="11.4" x14ac:dyDescent="0.2">
      <c r="A277" s="20" t="s">
        <v>160</v>
      </c>
      <c r="B277" s="58" t="s">
        <v>742</v>
      </c>
      <c r="C277" s="21" t="s">
        <v>75</v>
      </c>
      <c r="D277" s="98">
        <f>D276*H277</f>
        <v>80</v>
      </c>
      <c r="E277" s="96">
        <f>unit_prices!D25</f>
        <v>1530.9593516209475</v>
      </c>
      <c r="F277" s="24">
        <f t="shared" si="32"/>
        <v>122.47674812967581</v>
      </c>
      <c r="G277" s="89"/>
      <c r="H277" s="103">
        <v>0.05</v>
      </c>
      <c r="I277" s="5"/>
    </row>
    <row r="278" spans="1:9" ht="11.4" x14ac:dyDescent="0.2">
      <c r="A278" s="33" t="s">
        <v>145</v>
      </c>
      <c r="B278" s="58" t="s">
        <v>725</v>
      </c>
      <c r="C278" s="21" t="s">
        <v>10</v>
      </c>
      <c r="D278" s="22"/>
      <c r="E278" s="22"/>
      <c r="F278" s="24">
        <f>SUM(F279)</f>
        <v>0</v>
      </c>
      <c r="G278" s="89"/>
      <c r="H278" s="5"/>
      <c r="I278" s="5"/>
    </row>
    <row r="279" spans="1:9" ht="11.4" x14ac:dyDescent="0.2">
      <c r="A279" s="33" t="s">
        <v>275</v>
      </c>
      <c r="B279" s="58" t="s">
        <v>775</v>
      </c>
      <c r="C279" s="21" t="s">
        <v>75</v>
      </c>
      <c r="D279" s="104">
        <f>iocosts!B129</f>
        <v>0</v>
      </c>
      <c r="E279" s="105">
        <f>unit_prices!D26</f>
        <v>2112.7557486253163</v>
      </c>
      <c r="F279" s="24">
        <f>D279*E279/1000</f>
        <v>0</v>
      </c>
      <c r="G279" s="89"/>
      <c r="H279" s="5"/>
      <c r="I279" s="5"/>
    </row>
    <row r="280" spans="1:9" ht="11.4" x14ac:dyDescent="0.2">
      <c r="A280" s="20" t="s">
        <v>161</v>
      </c>
      <c r="B280" s="58" t="s">
        <v>724</v>
      </c>
      <c r="C280" s="21" t="s">
        <v>23</v>
      </c>
      <c r="D280" s="102">
        <v>2</v>
      </c>
      <c r="E280" s="30">
        <f>SUM(F269,F273:F274)*1000</f>
        <v>549893.50623441394</v>
      </c>
      <c r="F280" s="24">
        <f>D280/100*E280/1000</f>
        <v>10.99787012468828</v>
      </c>
      <c r="G280" s="89"/>
      <c r="H280" s="5"/>
      <c r="I280" s="5"/>
    </row>
    <row r="281" spans="1:9" ht="11.4" x14ac:dyDescent="0.2">
      <c r="A281" s="20" t="s">
        <v>216</v>
      </c>
      <c r="B281" s="58" t="s">
        <v>774</v>
      </c>
      <c r="C281" s="21" t="s">
        <v>10</v>
      </c>
      <c r="D281" s="22"/>
      <c r="E281" s="30"/>
      <c r="F281" s="24">
        <f>SUM(F282,F286:F287,F291,F295)</f>
        <v>5785.5376417108837</v>
      </c>
      <c r="G281" s="84"/>
      <c r="I281" s="5"/>
    </row>
    <row r="282" spans="1:9" ht="11.4" x14ac:dyDescent="0.2">
      <c r="A282" s="20" t="s">
        <v>153</v>
      </c>
      <c r="B282" s="58" t="s">
        <v>715</v>
      </c>
      <c r="C282" s="21" t="s">
        <v>10</v>
      </c>
      <c r="D282" s="22"/>
      <c r="E282" s="30"/>
      <c r="F282" s="24">
        <f>SUM(F283:F285)</f>
        <v>517.9860349127182</v>
      </c>
      <c r="G282" s="89"/>
      <c r="H282" s="5"/>
      <c r="I282" s="5"/>
    </row>
    <row r="283" spans="1:9" ht="11.4" x14ac:dyDescent="0.2">
      <c r="A283" s="20" t="s">
        <v>154</v>
      </c>
      <c r="B283" s="58" t="s">
        <v>733</v>
      </c>
      <c r="C283" s="21" t="s">
        <v>69</v>
      </c>
      <c r="D283" s="88">
        <f>iocosts!B130</f>
        <v>400</v>
      </c>
      <c r="E283" s="96">
        <f>unit_prices!D5</f>
        <v>5.9476309226932669</v>
      </c>
      <c r="F283" s="24">
        <f>D283*E283/1000</f>
        <v>2.3790523690773067</v>
      </c>
      <c r="G283" s="84"/>
      <c r="H283" s="5"/>
      <c r="I283" s="5"/>
    </row>
    <row r="284" spans="1:9" ht="11.4" x14ac:dyDescent="0.2">
      <c r="A284" s="20" t="s">
        <v>155</v>
      </c>
      <c r="B284" s="58" t="s">
        <v>735</v>
      </c>
      <c r="C284" s="21" t="s">
        <v>69</v>
      </c>
      <c r="D284" s="88">
        <f>iocosts!B131</f>
        <v>2000</v>
      </c>
      <c r="E284" s="96">
        <f>unit_prices!D6</f>
        <v>27.04214463840399</v>
      </c>
      <c r="F284" s="24">
        <f>D284*E284/1000</f>
        <v>54.084289276807979</v>
      </c>
      <c r="G284" s="89"/>
      <c r="H284" s="5"/>
      <c r="I284" s="5"/>
    </row>
    <row r="285" spans="1:9" ht="11.4" x14ac:dyDescent="0.2">
      <c r="A285" s="20" t="s">
        <v>274</v>
      </c>
      <c r="B285" s="58" t="s">
        <v>738</v>
      </c>
      <c r="C285" s="21" t="s">
        <v>69</v>
      </c>
      <c r="D285" s="88">
        <f>iocosts!B132</f>
        <v>3000</v>
      </c>
      <c r="E285" s="96">
        <f>unit_prices!D7</f>
        <v>153.84089775561097</v>
      </c>
      <c r="F285" s="24">
        <f>D285*E285/1000</f>
        <v>461.5226932668329</v>
      </c>
      <c r="G285" s="89"/>
      <c r="H285" s="5"/>
      <c r="I285" s="5"/>
    </row>
    <row r="286" spans="1:9" ht="11.4" x14ac:dyDescent="0.2">
      <c r="A286" s="20" t="s">
        <v>156</v>
      </c>
      <c r="B286" s="58" t="s">
        <v>737</v>
      </c>
      <c r="C286" s="21" t="s">
        <v>4</v>
      </c>
      <c r="D286" s="88">
        <f>iocosts!B133+iocosts!B134</f>
        <v>11000</v>
      </c>
      <c r="E286" s="96">
        <f>IF(iocosts!B133+iocosts!B134=0,0,(unit_prices!D10*iocosts!B133+unit_prices!D11*iocosts!B134)/(iocosts!B133+iocosts!B134))</f>
        <v>41.121197007481292</v>
      </c>
      <c r="F286" s="24">
        <f>D286*E286/1000</f>
        <v>452.33316708229427</v>
      </c>
      <c r="G286" s="89"/>
      <c r="H286" s="163"/>
      <c r="I286" s="5"/>
    </row>
    <row r="287" spans="1:9" ht="11.4" x14ac:dyDescent="0.2">
      <c r="A287" s="20" t="s">
        <v>157</v>
      </c>
      <c r="B287" s="58" t="s">
        <v>719</v>
      </c>
      <c r="C287" s="21" t="s">
        <v>10</v>
      </c>
      <c r="D287" s="25"/>
      <c r="E287" s="26"/>
      <c r="F287" s="24">
        <f>SUM(F288:F290)</f>
        <v>148.43031346633416</v>
      </c>
      <c r="G287" s="89"/>
      <c r="H287" s="5"/>
      <c r="I287" s="5"/>
    </row>
    <row r="288" spans="1:9" ht="11.4" x14ac:dyDescent="0.2">
      <c r="A288" s="20" t="s">
        <v>158</v>
      </c>
      <c r="B288" s="58" t="s">
        <v>720</v>
      </c>
      <c r="C288" s="21" t="s">
        <v>75</v>
      </c>
      <c r="D288" s="98">
        <f>D289*H288</f>
        <v>131</v>
      </c>
      <c r="E288" s="96">
        <f>unit_prices!D21</f>
        <v>0</v>
      </c>
      <c r="F288" s="24">
        <f>D288*E288/1000</f>
        <v>0</v>
      </c>
      <c r="G288" s="89"/>
      <c r="H288" s="103">
        <f>IF(iocosts!B135+iocosts!B136=0,0,(0.25*iocosts!B135+0.27*iocosts!B136)/(iocosts!B135+iocosts!B136))</f>
        <v>0.26200000000000001</v>
      </c>
      <c r="I288" s="5"/>
    </row>
    <row r="289" spans="1:9" ht="11.4" x14ac:dyDescent="0.2">
      <c r="A289" s="20" t="s">
        <v>159</v>
      </c>
      <c r="B289" s="58" t="s">
        <v>740</v>
      </c>
      <c r="C289" s="21" t="s">
        <v>69</v>
      </c>
      <c r="D289" s="88">
        <f>iocosts!B135+iocosts!B136</f>
        <v>500</v>
      </c>
      <c r="E289" s="96">
        <f>unit_prices!D22</f>
        <v>201.94114713216956</v>
      </c>
      <c r="F289" s="24">
        <f t="shared" ref="F289:F290" si="33">D289*E289/1000</f>
        <v>100.97057356608478</v>
      </c>
      <c r="G289" s="89"/>
      <c r="H289" s="93"/>
      <c r="I289" s="5"/>
    </row>
    <row r="290" spans="1:9" ht="11.4" x14ac:dyDescent="0.2">
      <c r="A290" s="20" t="s">
        <v>160</v>
      </c>
      <c r="B290" s="58" t="s">
        <v>742</v>
      </c>
      <c r="C290" s="21" t="s">
        <v>75</v>
      </c>
      <c r="D290" s="98">
        <f>D289*H290</f>
        <v>31.000000000000004</v>
      </c>
      <c r="E290" s="96">
        <f>unit_prices!D25</f>
        <v>1530.9593516209475</v>
      </c>
      <c r="F290" s="24">
        <f t="shared" si="33"/>
        <v>47.459739900249375</v>
      </c>
      <c r="G290" s="89"/>
      <c r="H290" s="103">
        <f>IF(iocosts!B135+iocosts!B136=0,0,(0.05*iocosts!B135+0.07*iocosts!B136)/(iocosts!B135+iocosts!B136))</f>
        <v>6.2000000000000006E-2</v>
      </c>
      <c r="I290" s="5"/>
    </row>
    <row r="291" spans="1:9" ht="11.4" x14ac:dyDescent="0.2">
      <c r="A291" s="33" t="s">
        <v>145</v>
      </c>
      <c r="B291" s="58" t="s">
        <v>725</v>
      </c>
      <c r="C291" s="21" t="s">
        <v>10</v>
      </c>
      <c r="D291" s="22"/>
      <c r="E291" s="22"/>
      <c r="F291" s="24">
        <f>SUM(F292:F294)</f>
        <v>4644.4131359403109</v>
      </c>
      <c r="G291" s="89"/>
      <c r="H291" s="5"/>
      <c r="I291" s="5"/>
    </row>
    <row r="292" spans="1:9" ht="11.4" x14ac:dyDescent="0.2">
      <c r="A292" s="33" t="s">
        <v>275</v>
      </c>
      <c r="B292" s="58" t="s">
        <v>775</v>
      </c>
      <c r="C292" s="21" t="s">
        <v>75</v>
      </c>
      <c r="D292" s="104">
        <f>iocosts!B137</f>
        <v>589</v>
      </c>
      <c r="E292" s="105">
        <f>unit_prices!D26</f>
        <v>2112.7557486253163</v>
      </c>
      <c r="F292" s="24">
        <f>D292*E292/1000</f>
        <v>1244.4131359403113</v>
      </c>
      <c r="G292" s="89"/>
      <c r="H292" s="5"/>
      <c r="I292" s="5"/>
    </row>
    <row r="293" spans="1:9" ht="11.4" x14ac:dyDescent="0.2">
      <c r="A293" s="33" t="s">
        <v>276</v>
      </c>
      <c r="B293" s="58" t="s">
        <v>773</v>
      </c>
      <c r="C293" s="21" t="s">
        <v>89</v>
      </c>
      <c r="D293" s="104">
        <f>iocosts!B138</f>
        <v>2</v>
      </c>
      <c r="E293" s="105">
        <f>iocosts!B139</f>
        <v>1700000</v>
      </c>
      <c r="F293" s="24">
        <f t="shared" ref="F293:F294" si="34">D293*E293/1000</f>
        <v>3400</v>
      </c>
      <c r="G293" s="89"/>
      <c r="H293" s="5"/>
      <c r="I293" s="5"/>
    </row>
    <row r="294" spans="1:9" ht="11.4" x14ac:dyDescent="0.2">
      <c r="A294" s="33" t="s">
        <v>276</v>
      </c>
      <c r="B294" s="58" t="s">
        <v>776</v>
      </c>
      <c r="C294" s="21" t="s">
        <v>89</v>
      </c>
      <c r="D294" s="104">
        <f>iocosts!B140</f>
        <v>0</v>
      </c>
      <c r="E294" s="105">
        <f>iocosts!B141</f>
        <v>0</v>
      </c>
      <c r="F294" s="24">
        <f t="shared" si="34"/>
        <v>0</v>
      </c>
      <c r="G294" s="89"/>
      <c r="H294" s="5"/>
      <c r="I294" s="5"/>
    </row>
    <row r="295" spans="1:9" ht="11.4" x14ac:dyDescent="0.2">
      <c r="A295" s="20" t="s">
        <v>161</v>
      </c>
      <c r="B295" s="58" t="s">
        <v>724</v>
      </c>
      <c r="C295" s="21" t="s">
        <v>23</v>
      </c>
      <c r="D295" s="102">
        <v>2</v>
      </c>
      <c r="E295" s="30">
        <f>SUM(F282,F286:F287)*1000</f>
        <v>1118749.5154613466</v>
      </c>
      <c r="F295" s="24">
        <f>D295/100*E295/1000</f>
        <v>22.374990309226934</v>
      </c>
      <c r="G295" s="89"/>
      <c r="H295" s="5"/>
      <c r="I295" s="5"/>
    </row>
    <row r="296" spans="1:9" ht="11.4" x14ac:dyDescent="0.2">
      <c r="A296" s="31" t="s">
        <v>164</v>
      </c>
      <c r="B296" s="58" t="s">
        <v>784</v>
      </c>
      <c r="C296" s="21" t="s">
        <v>10</v>
      </c>
      <c r="D296" s="22"/>
      <c r="E296" s="30"/>
      <c r="F296" s="24">
        <f>SUM(F297,F301:F302,F306,F309)</f>
        <v>12.846709226932669</v>
      </c>
      <c r="G296" s="89"/>
      <c r="I296" s="5"/>
    </row>
    <row r="297" spans="1:9" ht="11.4" x14ac:dyDescent="0.2">
      <c r="A297" s="31" t="s">
        <v>165</v>
      </c>
      <c r="B297" s="58" t="s">
        <v>715</v>
      </c>
      <c r="C297" s="21" t="s">
        <v>10</v>
      </c>
      <c r="D297" s="22"/>
      <c r="E297" s="30"/>
      <c r="F297" s="24">
        <f>SUM(F298:F300)</f>
        <v>12.006384039900249</v>
      </c>
      <c r="G297" s="89"/>
      <c r="I297" s="5"/>
    </row>
    <row r="298" spans="1:9" ht="11.4" x14ac:dyDescent="0.2">
      <c r="A298" s="33" t="s">
        <v>166</v>
      </c>
      <c r="B298" s="58" t="s">
        <v>733</v>
      </c>
      <c r="C298" s="21" t="s">
        <v>69</v>
      </c>
      <c r="D298" s="88">
        <f>iocosts!B142</f>
        <v>200</v>
      </c>
      <c r="E298" s="96">
        <f>unit_prices!D5</f>
        <v>5.9476309226932669</v>
      </c>
      <c r="F298" s="24">
        <f t="shared" ref="F298:F301" si="35">D298*E298/1000</f>
        <v>1.1895261845386533</v>
      </c>
      <c r="G298" s="89"/>
      <c r="I298" s="5"/>
    </row>
    <row r="299" spans="1:9" ht="11.4" x14ac:dyDescent="0.2">
      <c r="A299" s="33" t="s">
        <v>167</v>
      </c>
      <c r="B299" s="58" t="s">
        <v>735</v>
      </c>
      <c r="C299" s="21" t="s">
        <v>69</v>
      </c>
      <c r="D299" s="88">
        <f>iocosts!B143</f>
        <v>400</v>
      </c>
      <c r="E299" s="96">
        <f>unit_prices!D6</f>
        <v>27.04214463840399</v>
      </c>
      <c r="F299" s="24">
        <f t="shared" si="35"/>
        <v>10.816857855361595</v>
      </c>
      <c r="G299" s="89"/>
      <c r="I299" s="5"/>
    </row>
    <row r="300" spans="1:9" ht="11.4" x14ac:dyDescent="0.2">
      <c r="A300" s="33" t="s">
        <v>168</v>
      </c>
      <c r="B300" s="58" t="s">
        <v>738</v>
      </c>
      <c r="C300" s="21" t="s">
        <v>69</v>
      </c>
      <c r="D300" s="88">
        <f>iocosts!B144</f>
        <v>0</v>
      </c>
      <c r="E300" s="96">
        <f>unit_prices!D7</f>
        <v>153.84089775561097</v>
      </c>
      <c r="F300" s="24">
        <f t="shared" si="35"/>
        <v>0</v>
      </c>
      <c r="G300" s="89"/>
      <c r="H300" s="91"/>
      <c r="I300" s="5"/>
    </row>
    <row r="301" spans="1:9" ht="11.4" x14ac:dyDescent="0.2">
      <c r="A301" s="33" t="s">
        <v>169</v>
      </c>
      <c r="B301" s="58" t="s">
        <v>737</v>
      </c>
      <c r="C301" s="21" t="s">
        <v>4</v>
      </c>
      <c r="D301" s="88">
        <f>iocosts!B145</f>
        <v>100</v>
      </c>
      <c r="E301" s="96">
        <f>unit_prices!D10</f>
        <v>5.88428927680798</v>
      </c>
      <c r="F301" s="24">
        <f t="shared" si="35"/>
        <v>0.58842892768079802</v>
      </c>
      <c r="G301" s="89"/>
      <c r="H301" s="91"/>
      <c r="I301" s="5"/>
    </row>
    <row r="302" spans="1:9" ht="11.4" x14ac:dyDescent="0.2">
      <c r="A302" s="33" t="s">
        <v>170</v>
      </c>
      <c r="B302" s="58" t="s">
        <v>719</v>
      </c>
      <c r="C302" s="21" t="s">
        <v>10</v>
      </c>
      <c r="D302" s="22"/>
      <c r="E302" s="30"/>
      <c r="F302" s="24">
        <f>SUM(F303:F305)</f>
        <v>0</v>
      </c>
      <c r="G302" s="89"/>
      <c r="I302" s="5"/>
    </row>
    <row r="303" spans="1:9" ht="11.4" x14ac:dyDescent="0.2">
      <c r="A303" s="33" t="s">
        <v>171</v>
      </c>
      <c r="B303" s="58" t="s">
        <v>720</v>
      </c>
      <c r="C303" s="21" t="s">
        <v>75</v>
      </c>
      <c r="D303" s="98">
        <f>D304*H303</f>
        <v>0</v>
      </c>
      <c r="E303" s="96">
        <f>unit_prices!D21</f>
        <v>0</v>
      </c>
      <c r="F303" s="24">
        <f>D303*E303/1000</f>
        <v>0</v>
      </c>
      <c r="G303" s="89"/>
      <c r="H303" s="103">
        <v>0.25</v>
      </c>
      <c r="I303" s="5"/>
    </row>
    <row r="304" spans="1:9" ht="11.4" x14ac:dyDescent="0.2">
      <c r="A304" s="33" t="s">
        <v>172</v>
      </c>
      <c r="B304" s="58" t="s">
        <v>740</v>
      </c>
      <c r="C304" s="21" t="s">
        <v>69</v>
      </c>
      <c r="D304" s="88">
        <f>iocosts!B146</f>
        <v>0</v>
      </c>
      <c r="E304" s="96">
        <f>unit_prices!D22</f>
        <v>201.94114713216956</v>
      </c>
      <c r="F304" s="24">
        <f t="shared" ref="F304:F305" si="36">D304*E304/1000</f>
        <v>0</v>
      </c>
      <c r="G304" s="89"/>
      <c r="H304" s="93"/>
      <c r="I304" s="5"/>
    </row>
    <row r="305" spans="1:9" ht="11.4" x14ac:dyDescent="0.2">
      <c r="A305" s="33" t="s">
        <v>173</v>
      </c>
      <c r="B305" s="58" t="s">
        <v>742</v>
      </c>
      <c r="C305" s="21" t="s">
        <v>75</v>
      </c>
      <c r="D305" s="98">
        <f>D304*H305</f>
        <v>0</v>
      </c>
      <c r="E305" s="96">
        <f>unit_prices!D25</f>
        <v>1530.9593516209475</v>
      </c>
      <c r="F305" s="24">
        <f t="shared" si="36"/>
        <v>0</v>
      </c>
      <c r="G305" s="89"/>
      <c r="H305" s="103">
        <v>0.05</v>
      </c>
      <c r="I305" s="5"/>
    </row>
    <row r="306" spans="1:9" ht="11.4" x14ac:dyDescent="0.2">
      <c r="A306" s="33" t="s">
        <v>871</v>
      </c>
      <c r="B306" s="58" t="s">
        <v>863</v>
      </c>
      <c r="C306" s="21" t="s">
        <v>10</v>
      </c>
      <c r="F306" s="24">
        <f>SUM(F307:F308)</f>
        <v>0</v>
      </c>
      <c r="G306" s="89"/>
      <c r="H306" s="90"/>
      <c r="I306" s="5"/>
    </row>
    <row r="307" spans="1:9" ht="11.4" x14ac:dyDescent="0.2">
      <c r="A307" s="33" t="s">
        <v>872</v>
      </c>
      <c r="B307" s="58" t="s">
        <v>720</v>
      </c>
      <c r="C307" s="21" t="s">
        <v>75</v>
      </c>
      <c r="D307" s="98">
        <f>D308*H307</f>
        <v>0</v>
      </c>
      <c r="E307" s="96">
        <f>unit_prices!D21</f>
        <v>0</v>
      </c>
      <c r="F307" s="24">
        <f>D307*E307/1000</f>
        <v>0</v>
      </c>
      <c r="G307" s="89"/>
      <c r="H307" s="103">
        <v>0.15</v>
      </c>
      <c r="I307" s="5"/>
    </row>
    <row r="308" spans="1:9" ht="11.4" x14ac:dyDescent="0.2">
      <c r="A308" s="33" t="s">
        <v>873</v>
      </c>
      <c r="B308" s="58" t="s">
        <v>721</v>
      </c>
      <c r="C308" s="21" t="s">
        <v>69</v>
      </c>
      <c r="D308" s="88">
        <f>iocosts!B147</f>
        <v>0</v>
      </c>
      <c r="E308" s="96">
        <f>unit_prices!D23</f>
        <v>106.82493765586035</v>
      </c>
      <c r="F308" s="24">
        <f t="shared" ref="F308" si="37">D308*E308/1000</f>
        <v>0</v>
      </c>
      <c r="G308" s="89"/>
      <c r="H308" s="90"/>
      <c r="I308" s="5"/>
    </row>
    <row r="309" spans="1:9" ht="11.4" x14ac:dyDescent="0.2">
      <c r="A309" s="33" t="s">
        <v>174</v>
      </c>
      <c r="B309" s="58" t="s">
        <v>724</v>
      </c>
      <c r="C309" s="21" t="s">
        <v>23</v>
      </c>
      <c r="D309" s="102">
        <v>2</v>
      </c>
      <c r="E309" s="30">
        <f>SUM(F297,F301:F302,F306)*1000</f>
        <v>12594.812967581047</v>
      </c>
      <c r="F309" s="24">
        <f>D309/100*E309/1000</f>
        <v>0.25189625935162097</v>
      </c>
      <c r="G309" s="89"/>
      <c r="H309" s="76"/>
      <c r="I309" s="5"/>
    </row>
    <row r="310" spans="1:9" ht="12" x14ac:dyDescent="0.2">
      <c r="A310" s="108" t="s">
        <v>175</v>
      </c>
      <c r="B310" s="57" t="s">
        <v>786</v>
      </c>
      <c r="C310" s="21"/>
      <c r="D310" s="22"/>
      <c r="E310" s="30"/>
      <c r="F310" s="24">
        <f>SUM(F311:F312)</f>
        <v>0</v>
      </c>
      <c r="G310" s="89"/>
      <c r="H310" s="76"/>
      <c r="I310" s="5"/>
    </row>
    <row r="311" spans="1:9" ht="11.4" x14ac:dyDescent="0.2">
      <c r="A311" s="33" t="s">
        <v>176</v>
      </c>
      <c r="B311" s="58" t="s">
        <v>785</v>
      </c>
      <c r="C311" s="21" t="s">
        <v>10</v>
      </c>
      <c r="D311" s="98">
        <v>1</v>
      </c>
      <c r="E311" s="116">
        <f>iocosts!B148</f>
        <v>0</v>
      </c>
      <c r="F311" s="24">
        <f t="shared" ref="F311:F312" si="38">D311*E311/1000</f>
        <v>0</v>
      </c>
      <c r="G311" s="84"/>
      <c r="H311" s="76"/>
      <c r="I311" s="5"/>
    </row>
    <row r="312" spans="1:9" ht="11.4" x14ac:dyDescent="0.2">
      <c r="A312" s="33" t="s">
        <v>177</v>
      </c>
      <c r="B312" s="58" t="s">
        <v>891</v>
      </c>
      <c r="C312" s="21" t="s">
        <v>10</v>
      </c>
      <c r="D312" s="98">
        <v>1</v>
      </c>
      <c r="E312" s="116">
        <f>iocosts!B149</f>
        <v>0</v>
      </c>
      <c r="F312" s="24">
        <f t="shared" si="38"/>
        <v>0</v>
      </c>
      <c r="G312" s="89"/>
      <c r="H312" s="76"/>
      <c r="I312" s="5"/>
    </row>
    <row r="313" spans="1:9" ht="11.4" x14ac:dyDescent="0.2">
      <c r="A313" s="27"/>
      <c r="B313" s="58"/>
      <c r="C313" s="21"/>
      <c r="D313" s="22"/>
      <c r="E313" s="30"/>
      <c r="F313" s="24"/>
      <c r="G313" s="84"/>
      <c r="H313" s="76"/>
      <c r="I313" s="5"/>
    </row>
    <row r="314" spans="1:9" ht="11.4" x14ac:dyDescent="0.2">
      <c r="A314" s="20"/>
      <c r="B314" s="58" t="s">
        <v>788</v>
      </c>
      <c r="C314" s="21"/>
      <c r="D314" s="22"/>
      <c r="E314" s="30"/>
      <c r="F314" s="24">
        <f>SUM(F84,F133,F176,F210,F310)-F315</f>
        <v>9201.7241872255399</v>
      </c>
      <c r="G314" s="89"/>
      <c r="H314" s="76"/>
      <c r="I314" s="5"/>
    </row>
    <row r="315" spans="1:9" ht="11.4" x14ac:dyDescent="0.2">
      <c r="A315" s="20"/>
      <c r="B315" s="58" t="s">
        <v>787</v>
      </c>
      <c r="C315" s="21"/>
      <c r="D315" s="22"/>
      <c r="E315" s="30"/>
      <c r="F315" s="24">
        <f>SUM(F110,F127,F189,F204,F223,F246,F278,F291)</f>
        <v>8799.4131359403109</v>
      </c>
      <c r="G315" s="84"/>
      <c r="I315" s="5"/>
    </row>
    <row r="316" spans="1:9" ht="12" x14ac:dyDescent="0.2">
      <c r="A316" s="31" t="s">
        <v>178</v>
      </c>
      <c r="B316" s="57" t="s">
        <v>789</v>
      </c>
      <c r="C316" s="21" t="s">
        <v>23</v>
      </c>
      <c r="D316" s="98">
        <v>20</v>
      </c>
      <c r="E316" s="30">
        <f>F314*1000</f>
        <v>9201724.1872255392</v>
      </c>
      <c r="F316" s="24">
        <f>D316/100*E316/1000</f>
        <v>1840.3448374451079</v>
      </c>
      <c r="G316" s="89"/>
      <c r="I316" s="5"/>
    </row>
    <row r="317" spans="1:9" ht="12" x14ac:dyDescent="0.2">
      <c r="A317" s="31" t="s">
        <v>179</v>
      </c>
      <c r="B317" s="57" t="s">
        <v>790</v>
      </c>
      <c r="C317" s="21" t="s">
        <v>23</v>
      </c>
      <c r="D317" s="98">
        <v>20</v>
      </c>
      <c r="E317" s="30">
        <f>F315*1000</f>
        <v>8799413.1359403115</v>
      </c>
      <c r="F317" s="24">
        <f>D317/100*E317/1000</f>
        <v>1759.8826271880623</v>
      </c>
      <c r="G317" s="84"/>
      <c r="I317" s="5"/>
    </row>
    <row r="318" spans="1:9" ht="12" thickBot="1" x14ac:dyDescent="0.25">
      <c r="A318" s="37"/>
      <c r="B318" s="59"/>
      <c r="C318" s="38"/>
      <c r="D318" s="39"/>
      <c r="E318" s="40"/>
      <c r="F318" s="41"/>
      <c r="G318" s="89"/>
      <c r="H318" s="79"/>
      <c r="I318" s="5"/>
    </row>
    <row r="319" spans="1:9" ht="12" x14ac:dyDescent="0.2">
      <c r="A319" s="42" t="s">
        <v>180</v>
      </c>
      <c r="B319" s="18" t="s">
        <v>791</v>
      </c>
      <c r="C319" s="43"/>
      <c r="D319" s="44"/>
      <c r="E319" s="45"/>
      <c r="F319" s="46">
        <f>SUM(F325:F326)</f>
        <v>48146.400000000001</v>
      </c>
      <c r="G319" s="171"/>
      <c r="H319" s="79"/>
      <c r="I319" s="5"/>
    </row>
    <row r="320" spans="1:9" ht="11.4" x14ac:dyDescent="0.2">
      <c r="A320" s="32" t="s">
        <v>181</v>
      </c>
      <c r="B320" s="60" t="s">
        <v>798</v>
      </c>
      <c r="C320" s="21" t="s">
        <v>89</v>
      </c>
      <c r="D320" s="104">
        <f>IF(iocosts!B14&lt;&gt;0,iocosts!B14,iocosts!B16)</f>
        <v>2</v>
      </c>
      <c r="E320" s="104">
        <f>IF(iocosts!B14&lt;&gt;0,iocosts!B15,iocosts!B17)</f>
        <v>84000</v>
      </c>
      <c r="F320" s="24">
        <f>D320*E320/1000</f>
        <v>168</v>
      </c>
      <c r="G320" s="171"/>
      <c r="I320" s="5"/>
    </row>
    <row r="321" spans="1:9" ht="11.4" x14ac:dyDescent="0.2">
      <c r="A321" s="20" t="s">
        <v>182</v>
      </c>
      <c r="B321" s="60" t="s">
        <v>797</v>
      </c>
      <c r="C321" s="21" t="s">
        <v>89</v>
      </c>
      <c r="D321" s="25"/>
      <c r="E321" s="25"/>
      <c r="F321" s="24">
        <f t="shared" ref="F321:F324" si="39">D321*E321/1000</f>
        <v>0</v>
      </c>
      <c r="G321" s="171"/>
      <c r="I321" s="5"/>
    </row>
    <row r="322" spans="1:9" ht="11.4" x14ac:dyDescent="0.2">
      <c r="A322" s="31" t="s">
        <v>183</v>
      </c>
      <c r="B322" s="60" t="s">
        <v>792</v>
      </c>
      <c r="C322" s="21" t="s">
        <v>89</v>
      </c>
      <c r="D322" s="104">
        <f>iocosts!B10</f>
        <v>2</v>
      </c>
      <c r="E322" s="104">
        <f>iocosts!B11</f>
        <v>7180000</v>
      </c>
      <c r="F322" s="24">
        <f t="shared" si="39"/>
        <v>14360</v>
      </c>
      <c r="I322" s="5"/>
    </row>
    <row r="323" spans="1:9" ht="11.4" x14ac:dyDescent="0.2">
      <c r="A323" s="20" t="s">
        <v>184</v>
      </c>
      <c r="B323" s="60" t="s">
        <v>793</v>
      </c>
      <c r="C323" s="21" t="s">
        <v>89</v>
      </c>
      <c r="D323" s="104">
        <f>iocosts!B12</f>
        <v>2</v>
      </c>
      <c r="E323" s="104">
        <f>iocosts!B13</f>
        <v>12580000</v>
      </c>
      <c r="F323" s="24">
        <f t="shared" si="39"/>
        <v>25160</v>
      </c>
      <c r="I323" s="5"/>
    </row>
    <row r="324" spans="1:9" ht="11.4" x14ac:dyDescent="0.2">
      <c r="A324" s="20" t="s">
        <v>185</v>
      </c>
      <c r="B324" s="60" t="s">
        <v>761</v>
      </c>
      <c r="C324" s="21" t="s">
        <v>10</v>
      </c>
      <c r="D324" s="98">
        <v>1</v>
      </c>
      <c r="E324" s="104">
        <f>iocosts!B20</f>
        <v>434000</v>
      </c>
      <c r="F324" s="24">
        <f t="shared" si="39"/>
        <v>434</v>
      </c>
      <c r="I324" s="5"/>
    </row>
    <row r="325" spans="1:9" ht="11.4" x14ac:dyDescent="0.2">
      <c r="A325" s="31"/>
      <c r="B325" s="60" t="s">
        <v>794</v>
      </c>
      <c r="C325" s="21"/>
      <c r="D325" s="22"/>
      <c r="E325" s="30"/>
      <c r="F325" s="24">
        <f>SUM(F320:F324)</f>
        <v>40122</v>
      </c>
      <c r="I325" s="5"/>
    </row>
    <row r="326" spans="1:9" ht="12" x14ac:dyDescent="0.2">
      <c r="A326" s="31" t="s">
        <v>186</v>
      </c>
      <c r="B326" s="61" t="s">
        <v>898</v>
      </c>
      <c r="C326" s="21" t="s">
        <v>23</v>
      </c>
      <c r="D326" s="98">
        <v>20</v>
      </c>
      <c r="E326" s="30">
        <f>F325*1000</f>
        <v>40122000</v>
      </c>
      <c r="F326" s="24">
        <f>D326/100*E326/1000</f>
        <v>8024.4</v>
      </c>
      <c r="I326" s="5"/>
    </row>
    <row r="327" spans="1:9" ht="12" thickBot="1" x14ac:dyDescent="0.25">
      <c r="A327" s="37"/>
      <c r="B327" s="59"/>
      <c r="C327" s="38"/>
      <c r="D327" s="39"/>
      <c r="E327" s="40"/>
      <c r="F327" s="41"/>
      <c r="I327" s="5"/>
    </row>
    <row r="328" spans="1:9" ht="12" x14ac:dyDescent="0.2">
      <c r="A328" s="42" t="s">
        <v>187</v>
      </c>
      <c r="B328" s="18" t="s">
        <v>897</v>
      </c>
      <c r="C328" s="43"/>
      <c r="D328" s="44"/>
      <c r="E328" s="45"/>
      <c r="F328" s="46">
        <f>SUM(F330:F331)</f>
        <v>10399.6224</v>
      </c>
      <c r="I328" s="5"/>
    </row>
    <row r="329" spans="1:9" ht="11.4" x14ac:dyDescent="0.2">
      <c r="A329" s="31" t="s">
        <v>188</v>
      </c>
      <c r="B329" s="60" t="s">
        <v>802</v>
      </c>
      <c r="C329" s="21" t="s">
        <v>23</v>
      </c>
      <c r="D329" s="98">
        <v>18</v>
      </c>
      <c r="E329" s="30">
        <f>F319*1000</f>
        <v>48146400</v>
      </c>
      <c r="F329" s="24">
        <f>D329/100*E329/1000</f>
        <v>8666.3520000000008</v>
      </c>
      <c r="I329" s="5"/>
    </row>
    <row r="330" spans="1:9" ht="11.4" x14ac:dyDescent="0.2">
      <c r="A330" s="32"/>
      <c r="B330" s="60" t="s">
        <v>796</v>
      </c>
      <c r="C330" s="21"/>
      <c r="D330" s="22"/>
      <c r="E330" s="30"/>
      <c r="F330" s="24">
        <f>SUM(F329)</f>
        <v>8666.3520000000008</v>
      </c>
      <c r="I330" s="5"/>
    </row>
    <row r="331" spans="1:9" ht="12" x14ac:dyDescent="0.2">
      <c r="A331" s="31" t="s">
        <v>189</v>
      </c>
      <c r="B331" s="61" t="s">
        <v>795</v>
      </c>
      <c r="C331" s="21" t="s">
        <v>23</v>
      </c>
      <c r="D331" s="98">
        <v>20</v>
      </c>
      <c r="E331" s="30">
        <f>F330*1000</f>
        <v>8666352</v>
      </c>
      <c r="F331" s="24">
        <f>D331/100*E331/1000</f>
        <v>1733.2704000000001</v>
      </c>
      <c r="I331" s="5"/>
    </row>
    <row r="332" spans="1:9" ht="12" thickBot="1" x14ac:dyDescent="0.25">
      <c r="A332" s="47"/>
      <c r="B332" s="59"/>
      <c r="C332" s="38"/>
      <c r="D332" s="39"/>
      <c r="E332" s="40"/>
      <c r="F332" s="41"/>
      <c r="I332" s="5"/>
    </row>
    <row r="333" spans="1:9" ht="12" x14ac:dyDescent="0.2">
      <c r="A333" s="42" t="s">
        <v>190</v>
      </c>
      <c r="B333" s="18" t="s">
        <v>899</v>
      </c>
      <c r="C333" s="43"/>
      <c r="D333" s="44"/>
      <c r="E333" s="45"/>
      <c r="F333" s="46">
        <f>SUM(F337:F338)</f>
        <v>6808.5407999999998</v>
      </c>
      <c r="I333" s="5"/>
    </row>
    <row r="334" spans="1:9" ht="11.4" x14ac:dyDescent="0.2">
      <c r="A334" s="31" t="s">
        <v>191</v>
      </c>
      <c r="B334" s="60" t="s">
        <v>801</v>
      </c>
      <c r="C334" s="21" t="s">
        <v>89</v>
      </c>
      <c r="D334" s="98">
        <v>1</v>
      </c>
      <c r="E334" s="104">
        <f>iocosts!B18</f>
        <v>922000</v>
      </c>
      <c r="F334" s="24">
        <f t="shared" ref="F334:F335" si="40">D334*E334/1000</f>
        <v>922</v>
      </c>
      <c r="I334" s="5"/>
    </row>
    <row r="335" spans="1:9" ht="11.4" x14ac:dyDescent="0.2">
      <c r="A335" s="32" t="s">
        <v>191</v>
      </c>
      <c r="B335" s="60" t="s">
        <v>803</v>
      </c>
      <c r="C335" s="21" t="s">
        <v>89</v>
      </c>
      <c r="D335" s="98">
        <v>1</v>
      </c>
      <c r="E335" s="104">
        <f>iocosts!B19</f>
        <v>1863000</v>
      </c>
      <c r="F335" s="24">
        <f t="shared" si="40"/>
        <v>1863</v>
      </c>
      <c r="I335" s="5"/>
    </row>
    <row r="336" spans="1:9" ht="11.4" x14ac:dyDescent="0.2">
      <c r="A336" s="20" t="s">
        <v>192</v>
      </c>
      <c r="B336" s="60" t="s">
        <v>804</v>
      </c>
      <c r="C336" s="21" t="s">
        <v>23</v>
      </c>
      <c r="D336" s="98">
        <v>6</v>
      </c>
      <c r="E336" s="30">
        <f>F319*1000</f>
        <v>48146400</v>
      </c>
      <c r="F336" s="24">
        <f>D336/100*E336/1000</f>
        <v>2888.7840000000001</v>
      </c>
      <c r="I336" s="5"/>
    </row>
    <row r="337" spans="1:9" ht="11.4" x14ac:dyDescent="0.2">
      <c r="A337" s="20"/>
      <c r="B337" s="60" t="s">
        <v>799</v>
      </c>
      <c r="C337" s="21"/>
      <c r="D337" s="22"/>
      <c r="E337" s="30"/>
      <c r="F337" s="24">
        <f>SUM(F334:F336)</f>
        <v>5673.7839999999997</v>
      </c>
      <c r="I337" s="5"/>
    </row>
    <row r="338" spans="1:9" ht="12" x14ac:dyDescent="0.2">
      <c r="A338" s="20" t="s">
        <v>193</v>
      </c>
      <c r="B338" s="61" t="s">
        <v>800</v>
      </c>
      <c r="C338" s="21" t="s">
        <v>23</v>
      </c>
      <c r="D338" s="98">
        <v>20</v>
      </c>
      <c r="E338" s="30">
        <f>F337*1000</f>
        <v>5673784</v>
      </c>
      <c r="F338" s="24">
        <f>D338/100*E338/1000</f>
        <v>1134.7568000000001</v>
      </c>
      <c r="I338" s="5"/>
    </row>
    <row r="339" spans="1:9" ht="12" thickBot="1" x14ac:dyDescent="0.25">
      <c r="A339" s="37"/>
      <c r="B339" s="59"/>
      <c r="C339" s="38"/>
      <c r="D339" s="39"/>
      <c r="E339" s="40"/>
      <c r="F339" s="41"/>
      <c r="I339" s="5"/>
    </row>
    <row r="340" spans="1:9" ht="12" x14ac:dyDescent="0.2">
      <c r="A340" s="42" t="s">
        <v>194</v>
      </c>
      <c r="B340" s="18" t="s">
        <v>805</v>
      </c>
      <c r="C340" s="43"/>
      <c r="D340" s="44"/>
      <c r="E340" s="45"/>
      <c r="F340" s="46">
        <f>SUM(F345:F346)</f>
        <v>5207.0585919201994</v>
      </c>
      <c r="I340" s="5"/>
    </row>
    <row r="341" spans="1:9" ht="11.4" x14ac:dyDescent="0.2">
      <c r="A341" s="32" t="s">
        <v>195</v>
      </c>
      <c r="B341" s="60" t="s">
        <v>806</v>
      </c>
      <c r="C341" s="21" t="s">
        <v>27</v>
      </c>
      <c r="D341" s="113">
        <f>iocosts!B150</f>
        <v>2</v>
      </c>
      <c r="E341" s="88">
        <f>unit_prices!D27</f>
        <v>158142.83391521196</v>
      </c>
      <c r="F341" s="24">
        <f t="shared" ref="F341:F344" si="41">D341*E341/1000</f>
        <v>316.2856678304239</v>
      </c>
      <c r="I341" s="5"/>
    </row>
    <row r="342" spans="1:9" ht="11.4" x14ac:dyDescent="0.2">
      <c r="A342" s="20" t="s">
        <v>196</v>
      </c>
      <c r="B342" s="60" t="s">
        <v>807</v>
      </c>
      <c r="C342" s="21" t="s">
        <v>27</v>
      </c>
      <c r="D342" s="112"/>
      <c r="E342" s="25"/>
      <c r="F342" s="24">
        <f t="shared" si="41"/>
        <v>0</v>
      </c>
      <c r="I342" s="5"/>
    </row>
    <row r="343" spans="1:9" ht="11.4" x14ac:dyDescent="0.2">
      <c r="A343" s="20" t="s">
        <v>197</v>
      </c>
      <c r="B343" s="60" t="s">
        <v>808</v>
      </c>
      <c r="C343" s="21" t="s">
        <v>279</v>
      </c>
      <c r="D343" s="113">
        <f>iocosts!B151</f>
        <v>100</v>
      </c>
      <c r="E343" s="88">
        <f>unit_prices!D28</f>
        <v>40229.29825436409</v>
      </c>
      <c r="F343" s="24">
        <f t="shared" si="41"/>
        <v>4022.9298254364089</v>
      </c>
      <c r="I343" s="5"/>
    </row>
    <row r="344" spans="1:9" ht="11.4" x14ac:dyDescent="0.2">
      <c r="A344" s="20" t="s">
        <v>198</v>
      </c>
      <c r="B344" s="60" t="s">
        <v>887</v>
      </c>
      <c r="C344" s="21" t="s">
        <v>27</v>
      </c>
      <c r="D344" s="112"/>
      <c r="E344" s="25"/>
      <c r="F344" s="24">
        <f t="shared" si="41"/>
        <v>0</v>
      </c>
      <c r="I344" s="5"/>
    </row>
    <row r="345" spans="1:9" ht="11.4" x14ac:dyDescent="0.2">
      <c r="A345" s="31"/>
      <c r="B345" s="60" t="s">
        <v>809</v>
      </c>
      <c r="C345" s="21"/>
      <c r="D345" s="22"/>
      <c r="E345" s="30"/>
      <c r="F345" s="24">
        <f>SUM(F341:F344)</f>
        <v>4339.2154932668327</v>
      </c>
      <c r="I345" s="5"/>
    </row>
    <row r="346" spans="1:9" ht="12" x14ac:dyDescent="0.2">
      <c r="A346" s="31" t="s">
        <v>199</v>
      </c>
      <c r="B346" s="61" t="s">
        <v>810</v>
      </c>
      <c r="C346" s="21" t="s">
        <v>23</v>
      </c>
      <c r="D346" s="98">
        <v>20</v>
      </c>
      <c r="E346" s="30">
        <f>F345*1000</f>
        <v>4339215.493266833</v>
      </c>
      <c r="F346" s="24">
        <f>D346/100*E346/1000</f>
        <v>867.84309865336672</v>
      </c>
      <c r="I346" s="5"/>
    </row>
    <row r="347" spans="1:9" ht="11.4" x14ac:dyDescent="0.2">
      <c r="A347" s="32"/>
      <c r="B347" s="60"/>
      <c r="C347" s="21"/>
      <c r="D347" s="22"/>
      <c r="E347" s="30"/>
      <c r="F347" s="24"/>
      <c r="I347" s="5"/>
    </row>
    <row r="348" spans="1:9" ht="12" x14ac:dyDescent="0.2">
      <c r="A348" s="20"/>
      <c r="B348" s="61" t="s">
        <v>811</v>
      </c>
      <c r="C348" s="21"/>
      <c r="D348" s="22"/>
      <c r="E348" s="30"/>
      <c r="F348" s="24">
        <f>SUM(F340,F333,F328,F319,F83,F67,F7)</f>
        <v>98198.553622113235</v>
      </c>
      <c r="I348" s="5"/>
    </row>
    <row r="349" spans="1:9" ht="12" thickBot="1" x14ac:dyDescent="0.25">
      <c r="A349" s="37"/>
      <c r="B349" s="59"/>
      <c r="C349" s="38"/>
      <c r="D349" s="39"/>
      <c r="E349" s="40"/>
      <c r="F349" s="41"/>
      <c r="I349" s="5"/>
    </row>
    <row r="350" spans="1:9" ht="12" x14ac:dyDescent="0.2">
      <c r="A350" s="42" t="s">
        <v>200</v>
      </c>
      <c r="B350" s="18" t="s">
        <v>812</v>
      </c>
      <c r="C350" s="43"/>
      <c r="D350" s="44"/>
      <c r="E350" s="45"/>
      <c r="F350" s="46">
        <f>SUM(F360:F361)</f>
        <v>12962.209078118945</v>
      </c>
      <c r="I350" s="5"/>
    </row>
    <row r="351" spans="1:9" ht="12" x14ac:dyDescent="0.2">
      <c r="A351" s="32" t="s">
        <v>201</v>
      </c>
      <c r="B351" s="61" t="s">
        <v>813</v>
      </c>
      <c r="C351" s="21"/>
      <c r="D351" s="22"/>
      <c r="E351" s="30"/>
      <c r="F351" s="24">
        <f>SUM(F352:F353)</f>
        <v>3927.9421448845292</v>
      </c>
      <c r="I351" s="5"/>
    </row>
    <row r="352" spans="1:9" ht="11.4" x14ac:dyDescent="0.2">
      <c r="A352" s="20" t="s">
        <v>202</v>
      </c>
      <c r="B352" s="60" t="s">
        <v>815</v>
      </c>
      <c r="C352" s="21" t="s">
        <v>23</v>
      </c>
      <c r="D352" s="102">
        <v>2</v>
      </c>
      <c r="E352" s="30">
        <f>F348*1000</f>
        <v>98198553.622113228</v>
      </c>
      <c r="F352" s="24">
        <f>D352/100*E352/1000</f>
        <v>1963.9710724422646</v>
      </c>
      <c r="I352" s="5"/>
    </row>
    <row r="353" spans="1:9" ht="11.4" x14ac:dyDescent="0.2">
      <c r="A353" s="20" t="s">
        <v>203</v>
      </c>
      <c r="B353" s="60" t="s">
        <v>814</v>
      </c>
      <c r="C353" s="21" t="s">
        <v>23</v>
      </c>
      <c r="D353" s="102">
        <v>2</v>
      </c>
      <c r="E353" s="30">
        <f>F348*1000</f>
        <v>98198553.622113228</v>
      </c>
      <c r="F353" s="24">
        <f>D353/100*E353/1000</f>
        <v>1963.9710724422646</v>
      </c>
      <c r="I353" s="5"/>
    </row>
    <row r="354" spans="1:9" ht="12" x14ac:dyDescent="0.2">
      <c r="A354" s="20" t="s">
        <v>204</v>
      </c>
      <c r="B354" s="61" t="s">
        <v>888</v>
      </c>
      <c r="C354" s="21"/>
      <c r="D354" s="36"/>
      <c r="E354" s="30"/>
      <c r="F354" s="24">
        <f>SUM(F355,F359)</f>
        <v>7855.8842897690583</v>
      </c>
      <c r="I354" s="5"/>
    </row>
    <row r="355" spans="1:9" ht="11.4" x14ac:dyDescent="0.2">
      <c r="A355" s="31" t="s">
        <v>205</v>
      </c>
      <c r="B355" s="60" t="s">
        <v>816</v>
      </c>
      <c r="C355" s="21" t="s">
        <v>10</v>
      </c>
      <c r="D355" s="35"/>
      <c r="E355" s="30"/>
      <c r="F355" s="24">
        <f>SUM(F356:F358)</f>
        <v>6382.90598543736</v>
      </c>
      <c r="I355" s="5"/>
    </row>
    <row r="356" spans="1:9" ht="11.4" x14ac:dyDescent="0.2">
      <c r="A356" s="48" t="s">
        <v>206</v>
      </c>
      <c r="B356" s="60" t="s">
        <v>817</v>
      </c>
      <c r="C356" s="49" t="s">
        <v>23</v>
      </c>
      <c r="D356" s="102">
        <v>4</v>
      </c>
      <c r="E356" s="30">
        <f>$F$348*1000</f>
        <v>98198553.622113228</v>
      </c>
      <c r="F356" s="24">
        <f>D356/100*E356/1000</f>
        <v>3927.9421448845292</v>
      </c>
      <c r="I356" s="5"/>
    </row>
    <row r="357" spans="1:9" ht="11.4" x14ac:dyDescent="0.2">
      <c r="A357" s="50" t="s">
        <v>207</v>
      </c>
      <c r="B357" s="60" t="s">
        <v>818</v>
      </c>
      <c r="C357" s="49" t="s">
        <v>23</v>
      </c>
      <c r="D357" s="102">
        <v>1</v>
      </c>
      <c r="E357" s="30">
        <f>$F$348*1000</f>
        <v>98198553.622113228</v>
      </c>
      <c r="F357" s="24">
        <f t="shared" ref="F357:F358" si="42">D357/100*E357/1000</f>
        <v>981.98553622113229</v>
      </c>
      <c r="I357" s="5"/>
    </row>
    <row r="358" spans="1:9" ht="11.4" x14ac:dyDescent="0.2">
      <c r="A358" s="51" t="s">
        <v>208</v>
      </c>
      <c r="B358" s="60" t="s">
        <v>819</v>
      </c>
      <c r="C358" s="49" t="s">
        <v>23</v>
      </c>
      <c r="D358" s="102">
        <v>1.5</v>
      </c>
      <c r="E358" s="30">
        <f>$F$348*1000</f>
        <v>98198553.622113228</v>
      </c>
      <c r="F358" s="24">
        <f t="shared" si="42"/>
        <v>1472.9783043316984</v>
      </c>
      <c r="I358" s="5"/>
    </row>
    <row r="359" spans="1:9" ht="11.4" x14ac:dyDescent="0.2">
      <c r="A359" s="20" t="s">
        <v>209</v>
      </c>
      <c r="B359" s="60" t="s">
        <v>820</v>
      </c>
      <c r="C359" s="21" t="s">
        <v>23</v>
      </c>
      <c r="D359" s="102">
        <v>1.5</v>
      </c>
      <c r="E359" s="30">
        <f>$F$348*1000</f>
        <v>98198553.622113228</v>
      </c>
      <c r="F359" s="24">
        <f>D359/100*E359/1000</f>
        <v>1472.9783043316984</v>
      </c>
      <c r="I359" s="5"/>
    </row>
    <row r="360" spans="1:9" ht="11.4" x14ac:dyDescent="0.2">
      <c r="A360" s="20"/>
      <c r="B360" s="60" t="s">
        <v>821</v>
      </c>
      <c r="C360" s="21"/>
      <c r="D360" s="36"/>
      <c r="E360" s="30"/>
      <c r="F360" s="24">
        <f>SUM(F351,F354)</f>
        <v>11783.826434653587</v>
      </c>
      <c r="I360" s="5"/>
    </row>
    <row r="361" spans="1:9" ht="12" x14ac:dyDescent="0.2">
      <c r="A361" s="32" t="s">
        <v>210</v>
      </c>
      <c r="B361" s="61" t="s">
        <v>822</v>
      </c>
      <c r="C361" s="21" t="s">
        <v>23</v>
      </c>
      <c r="D361" s="98">
        <v>10</v>
      </c>
      <c r="E361" s="30">
        <f>F360*1000</f>
        <v>11783826.434653588</v>
      </c>
      <c r="F361" s="24">
        <f>D361/100*E361/1000</f>
        <v>1178.3826434653588</v>
      </c>
      <c r="I361" s="5"/>
    </row>
    <row r="362" spans="1:9" ht="11.4" x14ac:dyDescent="0.2">
      <c r="A362" s="20"/>
      <c r="B362" s="60"/>
      <c r="C362" s="21"/>
      <c r="D362" s="22"/>
      <c r="E362" s="30"/>
      <c r="F362" s="24"/>
      <c r="I362" s="5"/>
    </row>
    <row r="363" spans="1:9" ht="12" x14ac:dyDescent="0.2">
      <c r="A363" s="20"/>
      <c r="B363" s="61" t="s">
        <v>823</v>
      </c>
      <c r="C363" s="21"/>
      <c r="D363" s="22"/>
      <c r="E363" s="30"/>
      <c r="F363" s="24">
        <f>SUM(F348,F350)</f>
        <v>111160.76270023218</v>
      </c>
      <c r="I363" s="5"/>
    </row>
    <row r="364" spans="1:9" ht="12" thickBot="1" x14ac:dyDescent="0.25">
      <c r="A364" s="47"/>
      <c r="B364" s="59"/>
      <c r="C364" s="38"/>
      <c r="D364" s="39"/>
      <c r="E364" s="40"/>
      <c r="F364" s="41"/>
      <c r="I364" s="5"/>
    </row>
    <row r="365" spans="1:9" ht="12" x14ac:dyDescent="0.2">
      <c r="A365" s="42" t="s">
        <v>211</v>
      </c>
      <c r="B365" s="18" t="s">
        <v>824</v>
      </c>
      <c r="C365" s="43" t="s">
        <v>23</v>
      </c>
      <c r="D365" s="147">
        <v>12</v>
      </c>
      <c r="E365" s="45">
        <f>F363*1000</f>
        <v>111160762.70023218</v>
      </c>
      <c r="F365" s="46">
        <f>D365/100*E365/1000</f>
        <v>13339.291524027862</v>
      </c>
      <c r="I365" s="5"/>
    </row>
    <row r="366" spans="1:9" ht="11.4" x14ac:dyDescent="0.2">
      <c r="A366" s="32"/>
      <c r="B366" s="60"/>
      <c r="C366" s="21"/>
      <c r="D366" s="22"/>
      <c r="E366" s="30"/>
      <c r="F366" s="24"/>
      <c r="I366" s="5"/>
    </row>
    <row r="367" spans="1:9" ht="12" x14ac:dyDescent="0.2">
      <c r="A367" s="20"/>
      <c r="B367" s="61" t="s">
        <v>825</v>
      </c>
      <c r="C367" s="43"/>
      <c r="D367" s="44"/>
      <c r="E367" s="45"/>
      <c r="F367" s="46">
        <f>SUM(F363,F365)</f>
        <v>124500.05422426005</v>
      </c>
      <c r="I367" s="5"/>
    </row>
    <row r="368" spans="1:9" ht="11.4" x14ac:dyDescent="0.2">
      <c r="A368" s="20"/>
      <c r="B368" s="60" t="s">
        <v>826</v>
      </c>
      <c r="C368" s="21" t="s">
        <v>212</v>
      </c>
      <c r="D368" s="110">
        <f>iocosts!B2*1000</f>
        <v>100000</v>
      </c>
      <c r="E368" s="30"/>
      <c r="F368" s="24"/>
      <c r="I368" s="5"/>
    </row>
    <row r="369" spans="1:9" ht="12" thickBot="1" x14ac:dyDescent="0.25">
      <c r="A369" s="52"/>
      <c r="B369" s="56" t="s">
        <v>889</v>
      </c>
      <c r="C369" s="53"/>
      <c r="D369" s="54"/>
      <c r="E369" s="54"/>
      <c r="F369" s="55">
        <f>F367*1000/D368</f>
        <v>1245.0005422426004</v>
      </c>
      <c r="I369" s="5"/>
    </row>
    <row r="370" spans="1:9" x14ac:dyDescent="0.2">
      <c r="F370" s="6"/>
    </row>
    <row r="371" spans="1:9" x14ac:dyDescent="0.2">
      <c r="D371" s="118"/>
    </row>
    <row r="372" spans="1:9" x14ac:dyDescent="0.2">
      <c r="F372" s="6"/>
    </row>
    <row r="373" spans="1:9" x14ac:dyDescent="0.2">
      <c r="F373" s="6"/>
    </row>
    <row r="374" spans="1:9" x14ac:dyDescent="0.2">
      <c r="F374" s="6"/>
    </row>
  </sheetData>
  <autoFilter ref="A4:F369" xr:uid="{00000000-0009-0000-0000-000003000000}">
    <filterColumn colId="3" showButton="0"/>
  </autoFilter>
  <mergeCells count="9">
    <mergeCell ref="A1:F1"/>
    <mergeCell ref="A2:F2"/>
    <mergeCell ref="A4:A6"/>
    <mergeCell ref="B4:B6"/>
    <mergeCell ref="C4:C6"/>
    <mergeCell ref="D4:E4"/>
    <mergeCell ref="D5:D6"/>
    <mergeCell ref="E5:E6"/>
    <mergeCell ref="F5:F6"/>
  </mergeCells>
  <printOptions horizontalCentered="1"/>
  <pageMargins left="0.98425196850393704" right="0.59055118110236227" top="0.51181102362204722" bottom="0.51181102362204722" header="0.31496062992125984" footer="0.31496062992125984"/>
  <pageSetup paperSize="9" scale="66" fitToHeight="4" orientation="portrait" horizontalDpi="4294967294" verticalDpi="1200" r:id="rId1"/>
  <headerFooter alignWithMargins="0">
    <oddFooter>&amp;C&amp;A
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iocosts</vt:lpstr>
      <vt:lpstr>unit_prices</vt:lpstr>
      <vt:lpstr>summary</vt:lpstr>
      <vt:lpstr>balance</vt:lpstr>
      <vt:lpstr>budget</vt:lpstr>
      <vt:lpstr>budget!Print_Area</vt:lpstr>
      <vt:lpstr>budget!Print_Titles</vt:lpstr>
    </vt:vector>
  </TitlesOfParts>
  <Company>Hydros Engenharia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Hydros</dc:creator>
  <cp:lastModifiedBy>Tainá Martins Cunha</cp:lastModifiedBy>
  <cp:lastPrinted>2017-07-25T12:33:21Z</cp:lastPrinted>
  <dcterms:created xsi:type="dcterms:W3CDTF">2010-04-20T23:09:45Z</dcterms:created>
  <dcterms:modified xsi:type="dcterms:W3CDTF">2019-09-26T18:59:43Z</dcterms:modified>
</cp:coreProperties>
</file>