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HERA_F3\planilhas_io_f3\"/>
    </mc:Choice>
  </mc:AlternateContent>
  <xr:revisionPtr revIDLastSave="0" documentId="13_ncr:1_{87091870-A081-488D-8F80-36537E81958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ofilter" sheetId="15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5" l="1"/>
  <c r="I3" i="15" l="1"/>
  <c r="I14" i="15" l="1"/>
  <c r="I8" i="15" l="1"/>
  <c r="I5" i="15"/>
  <c r="I17" i="15" l="1"/>
  <c r="I16" i="15"/>
  <c r="I15" i="15" l="1"/>
  <c r="I9" i="15" l="1"/>
  <c r="I11" i="15" l="1"/>
  <c r="I7" i="15" l="1"/>
  <c r="I6" i="15"/>
  <c r="I4" i="15"/>
  <c r="I12" i="15" l="1"/>
  <c r="I10" i="15"/>
  <c r="I2" i="15" l="1"/>
</calcChain>
</file>

<file path=xl/sharedStrings.xml><?xml version="1.0" encoding="utf-8"?>
<sst xmlns="http://schemas.openxmlformats.org/spreadsheetml/2006/main" count="74" uniqueCount="68">
  <si>
    <t>m</t>
  </si>
  <si>
    <t>~IN</t>
  </si>
  <si>
    <t>~OUT</t>
  </si>
  <si>
    <t>enr_head_upst_h</t>
  </si>
  <si>
    <t>enr_head_dwst_h</t>
  </si>
  <si>
    <t>m³/s</t>
  </si>
  <si>
    <t>geo_qual_rock_x</t>
  </si>
  <si>
    <t>fil_bulb_foot_x</t>
  </si>
  <si>
    <t>fil_frvt_foot_x</t>
  </si>
  <si>
    <t>fil_frvt_tunl_x</t>
  </si>
  <si>
    <t>fil_frhz_foot_x</t>
  </si>
  <si>
    <t>fil_frhz_tunl_x</t>
  </si>
  <si>
    <t>fil_kapc_foot_x</t>
  </si>
  <si>
    <t>fil_kaps_foot_x</t>
  </si>
  <si>
    <t>fil_pelt_tunl_x</t>
  </si>
  <si>
    <t>fil_spw0_chut_x</t>
  </si>
  <si>
    <t>fil_edis_sjmp_x</t>
  </si>
  <si>
    <t>fil_div0_gall_x</t>
  </si>
  <si>
    <t>enr_inst_cpcy_p</t>
  </si>
  <si>
    <t>MW</t>
  </si>
  <si>
    <t>res_max0_0000_wl</t>
  </si>
  <si>
    <r>
      <t>NA</t>
    </r>
    <r>
      <rPr>
        <vertAlign val="subscript"/>
        <sz val="10"/>
        <rFont val="Arial"/>
        <family val="2"/>
      </rPr>
      <t>max</t>
    </r>
  </si>
  <si>
    <t>P'</t>
  </si>
  <si>
    <t>hyd_dam0_rbnk_el</t>
  </si>
  <si>
    <r>
      <t>Na</t>
    </r>
    <r>
      <rPr>
        <vertAlign val="subscript"/>
        <sz val="11"/>
        <rFont val="Calibri"/>
        <family val="2"/>
        <scheme val="minor"/>
      </rPr>
      <t>fu</t>
    </r>
  </si>
  <si>
    <t>fil_div0_rbed_x</t>
  </si>
  <si>
    <t>fil_frvt_chan_x</t>
  </si>
  <si>
    <t>fil_frhz_chan_x</t>
  </si>
  <si>
    <t>fil_kaps_chan_x</t>
  </si>
  <si>
    <t>div_cfd2_dfld_q</t>
  </si>
  <si>
    <r>
      <t>Q</t>
    </r>
    <r>
      <rPr>
        <vertAlign val="subscript"/>
        <sz val="11"/>
        <rFont val="Calibri"/>
        <family val="2"/>
        <scheme val="minor"/>
      </rPr>
      <t>k</t>
    </r>
  </si>
  <si>
    <t>spw_strc_dfld_q</t>
  </si>
  <si>
    <t>fil_div0_slui_x</t>
  </si>
  <si>
    <t xml:space="preserve">design flood for the 2nd phase diversion structures </t>
  </si>
  <si>
    <t>gross head due to the diversion of the hydraulic system</t>
  </si>
  <si>
    <t>gross head due to the dam</t>
  </si>
  <si>
    <t>installed capacity</t>
  </si>
  <si>
    <t>filter for the bulb turbines selection in a foot of the dam layout</t>
  </si>
  <si>
    <t>filter for the diversion gallery selection</t>
  </si>
  <si>
    <t>filter for the selection of a riverbed diversion through the spillway without sluiceway</t>
  </si>
  <si>
    <t>filter for the selection of a riverbed diversion through the spillway with sluiceway</t>
  </si>
  <si>
    <t>filter for the ski jump selection</t>
  </si>
  <si>
    <t>filter for the horizontal francis turbines selection in a foot of the dam layout</t>
  </si>
  <si>
    <t>filter for the horizontal francis turbines selection with a tunnel diversion</t>
  </si>
  <si>
    <t>filter for the vertical francis turbines selection in a foot of the dam layout</t>
  </si>
  <si>
    <t>filter for the vertical francis turbines selection with a tunnel diversion</t>
  </si>
  <si>
    <t>filter for the vertical francis turbines selection with a channel diversion</t>
  </si>
  <si>
    <t>filter for the concrete kaplan turbines selection in a foot of the dam layout</t>
  </si>
  <si>
    <t>filter for the steel kaplan turbines selection in a foot of the dam layout</t>
  </si>
  <si>
    <t>filter for the steel kaplan turbines selection with a channel diversion</t>
  </si>
  <si>
    <t>filter for the pelton turbines selection with a tunnel diversion</t>
  </si>
  <si>
    <t>filter for the chute spillway selection</t>
  </si>
  <si>
    <t>rock quality (1 - good; 2 - medium; 3 - poor)</t>
  </si>
  <si>
    <t>elevation of the riverbanks at the dam axis</t>
  </si>
  <si>
    <t>maximum water level of the reservoir</t>
  </si>
  <si>
    <t>design flood for the spillway dimensioning</t>
  </si>
  <si>
    <t>filter for the horizontal francis turbines selection with a channel diversion</t>
  </si>
  <si>
    <t>spw_edis_dfld_q</t>
  </si>
  <si>
    <r>
      <t>Q</t>
    </r>
    <r>
      <rPr>
        <vertAlign val="subscript"/>
        <sz val="11"/>
        <rFont val="Calibri"/>
        <family val="2"/>
        <scheme val="minor"/>
      </rPr>
      <t>c</t>
    </r>
  </si>
  <si>
    <t>design flood for the energy dissipator wall</t>
  </si>
  <si>
    <r>
      <t>Q</t>
    </r>
    <r>
      <rPr>
        <vertAlign val="subscript"/>
        <sz val="11"/>
        <rFont val="Calibri"/>
        <family val="2"/>
        <scheme val="minor"/>
      </rPr>
      <t>v</t>
    </r>
  </si>
  <si>
    <t>rtc_dam0_zero_wl</t>
  </si>
  <si>
    <t>dam rating curve zero</t>
  </si>
  <si>
    <t>rtc_dam0_a0cf_k</t>
  </si>
  <si>
    <t>coefficient "a" of the dam rating curve</t>
  </si>
  <si>
    <t>rtc_dam0_b0cf_k</t>
  </si>
  <si>
    <t>exponent "b" of the dam rating curve</t>
  </si>
  <si>
    <t xml:space="preserve">to access the definition of the variables in other languages, refer to Engineering dictionary.xls at HERA documentation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</si>
</sst>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vertAlign val="subscript"/>
      <sz val="10"/>
      <name val="Arial"/>
      <family val="2"/>
    </font>
    <font>
      <vertAlign val="subscript"/>
      <sz val="11"/>
      <name val="Calibri"/>
      <family val="2"/>
      <scheme val="minor"/>
    </font>
    <font>
      <b/>
      <sz val="9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4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0" fontId="4" fillId="5" borderId="0" applyNumberFormat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9" fillId="9" borderId="0" applyNumberFormat="0" applyBorder="0" applyAlignment="0" applyProtection="0"/>
    <xf numFmtId="0" fontId="10" fillId="14" borderId="1" applyNumberFormat="0" applyAlignment="0" applyProtection="0"/>
    <xf numFmtId="0" fontId="11" fillId="15" borderId="2" applyNumberFormat="0" applyAlignment="0" applyProtection="0"/>
    <xf numFmtId="0" fontId="12" fillId="0" borderId="3" applyNumberFormat="0" applyFill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3" fillId="10" borderId="1" applyNumberFormat="0" applyAlignment="0" applyProtection="0"/>
    <xf numFmtId="0" fontId="15" fillId="20" borderId="0" applyNumberFormat="0" applyBorder="0" applyAlignment="0" applyProtection="0"/>
    <xf numFmtId="0" fontId="16" fillId="10" borderId="0" applyNumberFormat="0" applyBorder="0" applyAlignment="0" applyProtection="0"/>
    <xf numFmtId="0" fontId="3" fillId="7" borderId="4" applyNumberFormat="0" applyFont="0" applyAlignment="0" applyProtection="0"/>
    <xf numFmtId="0" fontId="17" fillId="14" borderId="5" applyNumberFormat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  <xf numFmtId="0" fontId="15" fillId="20" borderId="0" applyNumberFormat="0" applyBorder="0" applyAlignment="0" applyProtection="0"/>
    <xf numFmtId="0" fontId="16" fillId="1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9">
    <xf numFmtId="0" fontId="0" fillId="0" borderId="0" xfId="0"/>
    <xf numFmtId="0" fontId="5" fillId="2" borderId="0" xfId="0" applyFont="1" applyFill="1"/>
    <xf numFmtId="0" fontId="6" fillId="0" borderId="0" xfId="0" applyFont="1"/>
    <xf numFmtId="0" fontId="7" fillId="0" borderId="0" xfId="0" applyFont="1"/>
    <xf numFmtId="2" fontId="6" fillId="3" borderId="0" xfId="0" applyNumberFormat="1" applyFont="1" applyFill="1"/>
    <xf numFmtId="0" fontId="2" fillId="4" borderId="0" xfId="0" applyFont="1" applyFill="1"/>
    <xf numFmtId="0" fontId="5" fillId="3" borderId="0" xfId="0" applyFont="1" applyFill="1"/>
    <xf numFmtId="2" fontId="3" fillId="0" borderId="0" xfId="103" applyNumberFormat="1" applyFont="1"/>
    <xf numFmtId="2" fontId="0" fillId="3" borderId="0" xfId="0" applyNumberFormat="1" applyFill="1"/>
    <xf numFmtId="2" fontId="3" fillId="0" borderId="0" xfId="103" quotePrefix="1" applyNumberFormat="1" applyFont="1" applyAlignment="1">
      <alignment horizontal="left"/>
    </xf>
    <xf numFmtId="164" fontId="0" fillId="3" borderId="0" xfId="0" applyNumberFormat="1" applyFill="1"/>
    <xf numFmtId="1" fontId="0" fillId="3" borderId="0" xfId="0" applyNumberFormat="1" applyFill="1"/>
    <xf numFmtId="0" fontId="2" fillId="0" borderId="0" xfId="0" applyFont="1"/>
    <xf numFmtId="2" fontId="1" fillId="3" borderId="0" xfId="0" applyNumberFormat="1" applyFont="1" applyFill="1"/>
    <xf numFmtId="0" fontId="1" fillId="0" borderId="0" xfId="0" applyFont="1"/>
    <xf numFmtId="2" fontId="6" fillId="0" borderId="0" xfId="0" applyNumberFormat="1" applyFont="1"/>
    <xf numFmtId="0" fontId="0" fillId="3" borderId="0" xfId="0" applyFill="1"/>
    <xf numFmtId="164" fontId="1" fillId="3" borderId="0" xfId="0" applyNumberFormat="1" applyFont="1" applyFill="1"/>
    <xf numFmtId="0" fontId="27" fillId="21" borderId="0" xfId="0" applyFont="1" applyFill="1"/>
  </cellXfs>
  <cellStyles count="104">
    <cellStyle name="20% - Ênfase1 2" xfId="3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Estilo 1" xfId="2" xr:uid="{00000000-0005-0000-0000-00001D000000}"/>
    <cellStyle name="Incorreto 2" xfId="33" xr:uid="{00000000-0005-0000-0000-00001E000000}"/>
    <cellStyle name="Moeda 2" xfId="65" xr:uid="{00000000-0005-0000-0000-00001F000000}"/>
    <cellStyle name="Moeda 2 2" xfId="89" xr:uid="{00000000-0005-0000-0000-000020000000}"/>
    <cellStyle name="Moeda 2 3" xfId="77" xr:uid="{00000000-0005-0000-0000-000021000000}"/>
    <cellStyle name="Moeda 3" xfId="63" xr:uid="{00000000-0005-0000-0000-000022000000}"/>
    <cellStyle name="Moeda 3 2" xfId="87" xr:uid="{00000000-0005-0000-0000-000023000000}"/>
    <cellStyle name="Moeda 3 3" xfId="75" xr:uid="{00000000-0005-0000-0000-000024000000}"/>
    <cellStyle name="Moeda 4" xfId="85" xr:uid="{00000000-0005-0000-0000-000025000000}"/>
    <cellStyle name="Moeda 5" xfId="73" xr:uid="{00000000-0005-0000-0000-000026000000}"/>
    <cellStyle name="Neutra 2" xfId="34" xr:uid="{00000000-0005-0000-0000-000027000000}"/>
    <cellStyle name="Neutro 2" xfId="52" xr:uid="{00000000-0005-0000-0000-000028000000}"/>
    <cellStyle name="Normal" xfId="0" builtinId="0"/>
    <cellStyle name="Normal 2" xfId="47" xr:uid="{00000000-0005-0000-0000-00002A000000}"/>
    <cellStyle name="Normal 2 2" xfId="56" xr:uid="{00000000-0005-0000-0000-00002B000000}"/>
    <cellStyle name="Normal 3" xfId="48" xr:uid="{00000000-0005-0000-0000-00002C000000}"/>
    <cellStyle name="Normal 3 2" xfId="57" xr:uid="{00000000-0005-0000-0000-00002D000000}"/>
    <cellStyle name="Normal 4" xfId="46" xr:uid="{00000000-0005-0000-0000-00002E000000}"/>
    <cellStyle name="Normal 4 2" xfId="55" xr:uid="{00000000-0005-0000-0000-00002F000000}"/>
    <cellStyle name="Normal 5" xfId="4" xr:uid="{00000000-0005-0000-0000-000030000000}"/>
    <cellStyle name="Normal 5 2" xfId="54" xr:uid="{00000000-0005-0000-0000-000031000000}"/>
    <cellStyle name="Normal 6" xfId="50" xr:uid="{00000000-0005-0000-0000-000032000000}"/>
    <cellStyle name="Normal_VERTEDOR" xfId="103" xr:uid="{C7F4B4A0-BB7B-4FAE-8C91-A77544B292ED}"/>
    <cellStyle name="Nota 2" xfId="35" xr:uid="{00000000-0005-0000-0000-000034000000}"/>
    <cellStyle name="Porcentagem 2" xfId="45" xr:uid="{00000000-0005-0000-0000-000035000000}"/>
    <cellStyle name="Ruim 2" xfId="51" xr:uid="{00000000-0005-0000-0000-000036000000}"/>
    <cellStyle name="Saída 2" xfId="36" xr:uid="{00000000-0005-0000-0000-000037000000}"/>
    <cellStyle name="Separador de milhares 2" xfId="49" xr:uid="{00000000-0005-0000-0000-000038000000}"/>
    <cellStyle name="Separador de milhares 2 2" xfId="92" xr:uid="{00000000-0005-0000-0000-000039000000}"/>
    <cellStyle name="Separador de milhares 2 3" xfId="80" xr:uid="{00000000-0005-0000-0000-00003A000000}"/>
    <cellStyle name="Separador de milhares 2 4" xfId="98" xr:uid="{00000000-0005-0000-0000-00003B000000}"/>
    <cellStyle name="Separador de milhares 2 5" xfId="68" xr:uid="{00000000-0005-0000-0000-00003C000000}"/>
    <cellStyle name="Texto de Aviso 2" xfId="37" xr:uid="{00000000-0005-0000-0000-00003D000000}"/>
    <cellStyle name="Texto Explicativo 2" xfId="38" xr:uid="{00000000-0005-0000-0000-00003E000000}"/>
    <cellStyle name="Título 1 2" xfId="40" xr:uid="{00000000-0005-0000-0000-00003F000000}"/>
    <cellStyle name="Título 2 2" xfId="41" xr:uid="{00000000-0005-0000-0000-000040000000}"/>
    <cellStyle name="Título 3 2" xfId="42" xr:uid="{00000000-0005-0000-0000-000041000000}"/>
    <cellStyle name="Título 4 2" xfId="43" xr:uid="{00000000-0005-0000-0000-000042000000}"/>
    <cellStyle name="Título 5" xfId="39" xr:uid="{00000000-0005-0000-0000-000043000000}"/>
    <cellStyle name="Total 2" xfId="44" xr:uid="{00000000-0005-0000-0000-000044000000}"/>
    <cellStyle name="Vírgula 10" xfId="96" xr:uid="{00000000-0005-0000-0000-000045000000}"/>
    <cellStyle name="Vírgula 11" xfId="61" xr:uid="{00000000-0005-0000-0000-000046000000}"/>
    <cellStyle name="Vírgula 2" xfId="1" xr:uid="{00000000-0005-0000-0000-000047000000}"/>
    <cellStyle name="Vírgula 2 2" xfId="58" xr:uid="{00000000-0005-0000-0000-000048000000}"/>
    <cellStyle name="Vírgula 2 2 2" xfId="94" xr:uid="{00000000-0005-0000-0000-000049000000}"/>
    <cellStyle name="Vírgula 2 2 3" xfId="82" xr:uid="{00000000-0005-0000-0000-00004A000000}"/>
    <cellStyle name="Vírgula 2 2 4" xfId="100" xr:uid="{00000000-0005-0000-0000-00004B000000}"/>
    <cellStyle name="Vírgula 2 2 5" xfId="70" xr:uid="{00000000-0005-0000-0000-00004C000000}"/>
    <cellStyle name="Vírgula 2 3" xfId="91" xr:uid="{00000000-0005-0000-0000-00004D000000}"/>
    <cellStyle name="Vírgula 2 4" xfId="79" xr:uid="{00000000-0005-0000-0000-00004E000000}"/>
    <cellStyle name="Vírgula 2 5" xfId="97" xr:uid="{00000000-0005-0000-0000-00004F000000}"/>
    <cellStyle name="Vírgula 2 6" xfId="67" xr:uid="{00000000-0005-0000-0000-000050000000}"/>
    <cellStyle name="Vírgula 3" xfId="53" xr:uid="{00000000-0005-0000-0000-000051000000}"/>
    <cellStyle name="Vírgula 3 2" xfId="93" xr:uid="{00000000-0005-0000-0000-000052000000}"/>
    <cellStyle name="Vírgula 3 3" xfId="81" xr:uid="{00000000-0005-0000-0000-000053000000}"/>
    <cellStyle name="Vírgula 3 4" xfId="99" xr:uid="{00000000-0005-0000-0000-000054000000}"/>
    <cellStyle name="Vírgula 3 5" xfId="69" xr:uid="{00000000-0005-0000-0000-000055000000}"/>
    <cellStyle name="Vírgula 4" xfId="59" xr:uid="{00000000-0005-0000-0000-000056000000}"/>
    <cellStyle name="Vírgula 4 2" xfId="95" xr:uid="{00000000-0005-0000-0000-000057000000}"/>
    <cellStyle name="Vírgula 4 3" xfId="83" xr:uid="{00000000-0005-0000-0000-000058000000}"/>
    <cellStyle name="Vírgula 4 4" xfId="101" xr:uid="{00000000-0005-0000-0000-000059000000}"/>
    <cellStyle name="Vírgula 4 5" xfId="71" xr:uid="{00000000-0005-0000-0000-00005A000000}"/>
    <cellStyle name="Vírgula 5" xfId="60" xr:uid="{00000000-0005-0000-0000-00005B000000}"/>
    <cellStyle name="Vírgula 5 2" xfId="90" xr:uid="{00000000-0005-0000-0000-00005C000000}"/>
    <cellStyle name="Vírgula 5 3" xfId="78" xr:uid="{00000000-0005-0000-0000-00005D000000}"/>
    <cellStyle name="Vírgula 5 4" xfId="102" xr:uid="{00000000-0005-0000-0000-00005E000000}"/>
    <cellStyle name="Vírgula 5 5" xfId="66" xr:uid="{00000000-0005-0000-0000-00005F000000}"/>
    <cellStyle name="Vírgula 6" xfId="64" xr:uid="{00000000-0005-0000-0000-000060000000}"/>
    <cellStyle name="Vírgula 6 2" xfId="88" xr:uid="{00000000-0005-0000-0000-000061000000}"/>
    <cellStyle name="Vírgula 6 3" xfId="76" xr:uid="{00000000-0005-0000-0000-000062000000}"/>
    <cellStyle name="Vírgula 7" xfId="62" xr:uid="{00000000-0005-0000-0000-000063000000}"/>
    <cellStyle name="Vírgula 7 2" xfId="86" xr:uid="{00000000-0005-0000-0000-000064000000}"/>
    <cellStyle name="Vírgula 7 3" xfId="74" xr:uid="{00000000-0005-0000-0000-000065000000}"/>
    <cellStyle name="Vírgula 8" xfId="84" xr:uid="{00000000-0005-0000-0000-000066000000}"/>
    <cellStyle name="Vírgula 9" xfId="72" xr:uid="{00000000-0005-0000-0000-000067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activeCell="I14" sqref="I14"/>
    </sheetView>
  </sheetViews>
  <sheetFormatPr defaultRowHeight="16.5" customHeight="1" x14ac:dyDescent="0.25"/>
  <cols>
    <col min="1" max="1" width="22.28515625" style="2" bestFit="1" customWidth="1"/>
    <col min="2" max="2" width="7.5703125" style="2" bestFit="1" customWidth="1"/>
    <col min="3" max="3" width="4.7109375" style="2" customWidth="1"/>
    <col min="4" max="4" width="6.140625" style="3" customWidth="1"/>
    <col min="5" max="5" width="84.42578125" style="2" customWidth="1"/>
    <col min="6" max="7" width="3.140625" style="2" customWidth="1"/>
    <col min="8" max="8" width="22.28515625" style="2" bestFit="1" customWidth="1"/>
    <col min="9" max="9" width="12.7109375" style="2" bestFit="1" customWidth="1"/>
    <col min="10" max="10" width="3.42578125" style="2" bestFit="1" customWidth="1"/>
    <col min="11" max="11" width="79.140625" style="2" bestFit="1" customWidth="1"/>
    <col min="12" max="16384" width="9.140625" style="2"/>
  </cols>
  <sheetData>
    <row r="1" spans="1:11" ht="16.5" customHeight="1" x14ac:dyDescent="0.25">
      <c r="A1" s="1" t="s">
        <v>1</v>
      </c>
      <c r="E1" s="18" t="s">
        <v>67</v>
      </c>
      <c r="H1" s="1" t="s">
        <v>2</v>
      </c>
    </row>
    <row r="2" spans="1:11" ht="16.5" customHeight="1" x14ac:dyDescent="0.25">
      <c r="A2" s="6" t="s">
        <v>18</v>
      </c>
      <c r="B2" s="10">
        <v>5000</v>
      </c>
      <c r="C2" t="s">
        <v>19</v>
      </c>
      <c r="D2" s="12" t="s">
        <v>22</v>
      </c>
      <c r="E2" s="5" t="s">
        <v>36</v>
      </c>
      <c r="H2" s="6" t="s">
        <v>7</v>
      </c>
      <c r="I2" s="4" t="b">
        <f>IF(B4&gt;0,FALSE,AND((0.97*B3)&gt;=4,(0.97*B3)&lt;=25))</f>
        <v>0</v>
      </c>
      <c r="K2" s="5" t="s">
        <v>37</v>
      </c>
    </row>
    <row r="3" spans="1:11" ht="16.5" customHeight="1" x14ac:dyDescent="0.25">
      <c r="A3" s="6" t="s">
        <v>3</v>
      </c>
      <c r="B3" s="10">
        <v>250</v>
      </c>
      <c r="C3" t="s">
        <v>0</v>
      </c>
      <c r="E3" s="5" t="s">
        <v>35</v>
      </c>
      <c r="H3" s="6" t="s">
        <v>8</v>
      </c>
      <c r="I3" s="4" t="b">
        <f>IF(B4&gt;0,FALSE,IF(B2&gt;500,AND((0.97*B3)&gt;=38,(0.97*B3)&lt;=600,AND((0.97*B3)&gt;=27,(0.97*B3)&lt;=600)),AND((0.97*B3)&gt;=27,(0.97*B3)&lt;=600)))</f>
        <v>1</v>
      </c>
      <c r="K3" s="5" t="s">
        <v>44</v>
      </c>
    </row>
    <row r="4" spans="1:11" ht="16.5" customHeight="1" x14ac:dyDescent="0.25">
      <c r="A4" s="6" t="s">
        <v>4</v>
      </c>
      <c r="B4" s="10">
        <v>0</v>
      </c>
      <c r="C4" t="s">
        <v>0</v>
      </c>
      <c r="E4" s="5" t="s">
        <v>34</v>
      </c>
      <c r="H4" s="6" t="s">
        <v>9</v>
      </c>
      <c r="I4" s="4" t="b">
        <f>IF(B4&gt;0,AND((0.95*(B3+B4))&gt;=27,(0.95*(B3+B4))&lt;=600),FALSE)</f>
        <v>0</v>
      </c>
      <c r="K4" s="5" t="s">
        <v>45</v>
      </c>
    </row>
    <row r="5" spans="1:11" ht="16.5" customHeight="1" x14ac:dyDescent="0.35">
      <c r="A5" s="6" t="s">
        <v>31</v>
      </c>
      <c r="B5" s="16">
        <v>3292.7709193578803</v>
      </c>
      <c r="C5" s="7" t="s">
        <v>5</v>
      </c>
      <c r="D5" s="12" t="s">
        <v>60</v>
      </c>
      <c r="E5" s="5" t="s">
        <v>55</v>
      </c>
      <c r="H5" s="6" t="s">
        <v>26</v>
      </c>
      <c r="I5" s="4" t="b">
        <f>IF(B4&gt;0,AND((0.95*(B3+B4))&gt;=27,(0.95*(B3+B4))&lt;=200),FALSE)</f>
        <v>0</v>
      </c>
      <c r="K5" s="5" t="s">
        <v>46</v>
      </c>
    </row>
    <row r="6" spans="1:11" ht="16.5" customHeight="1" x14ac:dyDescent="0.35">
      <c r="A6" s="6" t="s">
        <v>57</v>
      </c>
      <c r="B6" s="16">
        <v>1950</v>
      </c>
      <c r="C6" s="7" t="s">
        <v>5</v>
      </c>
      <c r="D6" s="12" t="s">
        <v>58</v>
      </c>
      <c r="E6" s="5" t="s">
        <v>59</v>
      </c>
      <c r="H6" s="6" t="s">
        <v>10</v>
      </c>
      <c r="I6" s="4" t="b">
        <f>IF(B4&gt;0,FALSE,AND((0.97*B3)&gt;=27,(0.97*B3)&lt;=350))</f>
        <v>1</v>
      </c>
      <c r="K6" s="5" t="s">
        <v>42</v>
      </c>
    </row>
    <row r="7" spans="1:11" ht="16.5" customHeight="1" x14ac:dyDescent="0.35">
      <c r="A7" s="6" t="s">
        <v>29</v>
      </c>
      <c r="B7" s="17">
        <v>1763.7595664738606</v>
      </c>
      <c r="C7" s="7" t="s">
        <v>5</v>
      </c>
      <c r="D7" s="12" t="s">
        <v>30</v>
      </c>
      <c r="E7" s="5" t="s">
        <v>33</v>
      </c>
      <c r="H7" s="6" t="s">
        <v>11</v>
      </c>
      <c r="I7" s="4" t="b">
        <f>IF(B4&gt;0,AND((0.95*(B3+B4))&gt;=27,(0.95*(B3+B4))&lt;=350),FALSE)</f>
        <v>0</v>
      </c>
      <c r="K7" s="5" t="s">
        <v>43</v>
      </c>
    </row>
    <row r="8" spans="1:11" ht="16.5" customHeight="1" x14ac:dyDescent="0.25">
      <c r="A8" s="6" t="s">
        <v>6</v>
      </c>
      <c r="B8" s="11">
        <v>1</v>
      </c>
      <c r="E8" s="5" t="s">
        <v>52</v>
      </c>
      <c r="H8" s="6" t="s">
        <v>27</v>
      </c>
      <c r="I8" s="4" t="b">
        <f>IF(B4&gt;0,AND((0.95*(B3+B4))&gt;=27,(0.95*(B3+B4))&lt;=200),FALSE)</f>
        <v>0</v>
      </c>
      <c r="K8" s="5" t="s">
        <v>56</v>
      </c>
    </row>
    <row r="9" spans="1:11" ht="16.5" customHeight="1" x14ac:dyDescent="0.3">
      <c r="A9" s="6" t="s">
        <v>20</v>
      </c>
      <c r="B9" s="8">
        <v>131</v>
      </c>
      <c r="C9" t="s">
        <v>0</v>
      </c>
      <c r="D9" s="9" t="s">
        <v>21</v>
      </c>
      <c r="E9" s="5" t="s">
        <v>54</v>
      </c>
      <c r="H9" s="6" t="s">
        <v>12</v>
      </c>
      <c r="I9" s="4" t="b">
        <f>IF(B4&gt;0,FALSE,AND((0.97*B3)&gt;=8,(0.97*B3)&lt;=30))</f>
        <v>0</v>
      </c>
      <c r="K9" s="5" t="s">
        <v>47</v>
      </c>
    </row>
    <row r="10" spans="1:11" ht="16.5" customHeight="1" x14ac:dyDescent="0.35">
      <c r="A10" s="6" t="s">
        <v>23</v>
      </c>
      <c r="B10" s="13">
        <v>81.000000000022979</v>
      </c>
      <c r="C10" s="14" t="s">
        <v>0</v>
      </c>
      <c r="D10" s="9" t="s">
        <v>24</v>
      </c>
      <c r="E10" s="5" t="s">
        <v>53</v>
      </c>
      <c r="H10" s="6" t="s">
        <v>13</v>
      </c>
      <c r="I10" s="4" t="b">
        <f>IF(B4&gt;0,FALSE,AND((0.97*B3)&gt;=8,(0.97*B3)&lt;=70))</f>
        <v>0</v>
      </c>
      <c r="K10" s="5" t="s">
        <v>48</v>
      </c>
    </row>
    <row r="11" spans="1:11" ht="16.5" customHeight="1" x14ac:dyDescent="0.25">
      <c r="A11" s="6" t="s">
        <v>61</v>
      </c>
      <c r="B11" s="13">
        <v>73.300000000000011</v>
      </c>
      <c r="C11" t="s">
        <v>0</v>
      </c>
      <c r="E11" s="5" t="s">
        <v>62</v>
      </c>
      <c r="H11" s="6" t="s">
        <v>28</v>
      </c>
      <c r="I11" s="4" t="b">
        <f>IF(B4&gt;0,AND((0.95*(B3+B4))&gt;=8,(0.95*(B3+B4))&lt;=70),FALSE)</f>
        <v>0</v>
      </c>
      <c r="K11" s="5" t="s">
        <v>49</v>
      </c>
    </row>
    <row r="12" spans="1:11" ht="16.5" customHeight="1" x14ac:dyDescent="0.25">
      <c r="A12" s="6" t="s">
        <v>63</v>
      </c>
      <c r="B12" s="13">
        <v>1.0930241951938404</v>
      </c>
      <c r="C12"/>
      <c r="E12" s="5" t="s">
        <v>64</v>
      </c>
      <c r="H12" s="6" t="s">
        <v>14</v>
      </c>
      <c r="I12" s="4" t="b">
        <f>IF(B4&gt;0,AND((0.95*(B3+B4))&gt;=150,(0.95*(B3+B4))&lt;=1500),FALSE)</f>
        <v>0</v>
      </c>
      <c r="K12" s="5" t="s">
        <v>50</v>
      </c>
    </row>
    <row r="13" spans="1:11" ht="16.5" customHeight="1" x14ac:dyDescent="0.25">
      <c r="A13" s="6" t="s">
        <v>65</v>
      </c>
      <c r="B13" s="13">
        <v>0.42932665732195935</v>
      </c>
      <c r="C13"/>
      <c r="E13" s="5" t="s">
        <v>66</v>
      </c>
      <c r="H13" s="6" t="s">
        <v>15</v>
      </c>
      <c r="I13" s="4" t="b">
        <f>B9-(0.6*B5^0.4)-(1+B11+B12*B6^B13)&gt;=3</f>
        <v>1</v>
      </c>
      <c r="K13" s="5" t="s">
        <v>51</v>
      </c>
    </row>
    <row r="14" spans="1:11" ht="16.5" customHeight="1" x14ac:dyDescent="0.25">
      <c r="H14" s="6" t="s">
        <v>16</v>
      </c>
      <c r="I14" s="4" t="b">
        <f>AND(B9-(0.6*B5^0.4)-(1+B11+B12*B6^B13)&gt;=13,B8&lt;=1)</f>
        <v>1</v>
      </c>
      <c r="K14" s="5" t="s">
        <v>41</v>
      </c>
    </row>
    <row r="15" spans="1:11" ht="16.5" customHeight="1" x14ac:dyDescent="0.25">
      <c r="E15"/>
      <c r="H15" s="6" t="s">
        <v>17</v>
      </c>
      <c r="I15" s="4" t="b">
        <f>B7&lt;=400</f>
        <v>0</v>
      </c>
      <c r="K15" s="5" t="s">
        <v>38</v>
      </c>
    </row>
    <row r="16" spans="1:11" ht="16.5" customHeight="1" x14ac:dyDescent="0.25">
      <c r="E16"/>
      <c r="H16" s="6" t="s">
        <v>25</v>
      </c>
      <c r="I16" s="4" t="b">
        <f>0.97*B3&lt;=30</f>
        <v>0</v>
      </c>
      <c r="K16" s="5" t="s">
        <v>39</v>
      </c>
    </row>
    <row r="17" spans="7:11" ht="16.5" customHeight="1" x14ac:dyDescent="0.25">
      <c r="H17" s="6" t="s">
        <v>32</v>
      </c>
      <c r="I17" s="4" t="b">
        <f>0.97*B3&gt;30</f>
        <v>1</v>
      </c>
      <c r="K17" s="5" t="s">
        <v>40</v>
      </c>
    </row>
    <row r="21" spans="7:11" ht="16.5" customHeight="1" x14ac:dyDescent="0.25">
      <c r="G21" s="3"/>
      <c r="I21" s="1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iofilter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2020-02-18T21:00:08Z</dcterms:modified>
</cp:coreProperties>
</file>