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drawings/drawing2.xml" ContentType="application/vnd.openxmlformats-officedocument.drawing+xml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drawings/drawing3.xml" ContentType="application/vnd.openxmlformats-officedocument.drawing+xml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zr\Documents\PSR\Omepetec\custos\"/>
    </mc:Choice>
  </mc:AlternateContent>
  <xr:revisionPtr revIDLastSave="0" documentId="13_ncr:1_{F9621769-1C20-4954-B96D-E1B933D15230}" xr6:coauthVersionLast="44" xr6:coauthVersionMax="44" xr10:uidLastSave="{00000000-0000-0000-0000-000000000000}"/>
  <bookViews>
    <workbookView xWindow="-120" yWindow="-120" windowWidth="20730" windowHeight="11160" activeTab="4" xr2:uid="{00000000-000D-0000-FFFF-FFFF00000000}"/>
  </bookViews>
  <sheets>
    <sheet name="iohsb1" sheetId="15" r:id="rId1"/>
    <sheet name="hsb1intake" sheetId="10" r:id="rId2"/>
    <sheet name="hsb1phouse" sheetId="17" r:id="rId3"/>
    <sheet name="hsb1tailrace" sheetId="12" r:id="rId4"/>
    <sheet name="convert" sheetId="18" r:id="rId5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8" l="1"/>
  <c r="M471" i="17" l="1"/>
  <c r="L443" i="17"/>
  <c r="D76" i="10" l="1"/>
  <c r="H8" i="12" l="1"/>
  <c r="H7" i="12"/>
  <c r="C23" i="12" s="1"/>
  <c r="C25" i="12" s="1"/>
  <c r="C27" i="12" s="1"/>
  <c r="H6" i="12"/>
  <c r="H8" i="17"/>
  <c r="H7" i="17"/>
  <c r="C25" i="17" s="1"/>
  <c r="H6" i="17"/>
  <c r="H7" i="10" l="1"/>
  <c r="C20" i="10" s="1"/>
  <c r="H8" i="10"/>
  <c r="H6" i="10"/>
  <c r="C26" i="17" l="1"/>
  <c r="C18" i="17"/>
  <c r="C16" i="17"/>
  <c r="C17" i="17" s="1"/>
  <c r="C15" i="17"/>
  <c r="C14" i="17"/>
  <c r="C12" i="17"/>
  <c r="D61" i="17" s="1"/>
  <c r="J505" i="17"/>
  <c r="J493" i="17"/>
  <c r="H258" i="17"/>
  <c r="G258" i="17" s="1"/>
  <c r="E125" i="17"/>
  <c r="E211" i="17" l="1"/>
  <c r="I20" i="15"/>
  <c r="D42" i="17"/>
  <c r="E151" i="17"/>
  <c r="J258" i="17"/>
  <c r="F258" i="17"/>
  <c r="D38" i="17"/>
  <c r="D46" i="17" s="1"/>
  <c r="D50" i="17" s="1"/>
  <c r="E114" i="17" s="1"/>
  <c r="E74" i="17" l="1"/>
  <c r="D54" i="17"/>
  <c r="E89" i="17"/>
  <c r="C535" i="17"/>
  <c r="B535" i="17" s="1"/>
  <c r="H89" i="17" l="1"/>
  <c r="C534" i="17" s="1"/>
  <c r="B534" i="17" s="1"/>
  <c r="H74" i="17"/>
  <c r="G76" i="17" s="1"/>
  <c r="E78" i="17" s="1"/>
  <c r="F79" i="17" s="1"/>
  <c r="F339" i="17" s="1"/>
  <c r="C533" i="17" l="1"/>
  <c r="B533" i="17" s="1"/>
  <c r="B90" i="17"/>
  <c r="F90" i="17"/>
  <c r="B79" i="17"/>
  <c r="B32" i="17"/>
  <c r="C532" i="17" s="1"/>
  <c r="B532" i="17" s="1"/>
  <c r="I13" i="15" l="1"/>
  <c r="H506" i="17"/>
  <c r="I38" i="15" s="1"/>
  <c r="G92" i="17"/>
  <c r="H99" i="17" s="1"/>
  <c r="D96" i="17" s="1"/>
  <c r="D406" i="17" s="1"/>
  <c r="C12" i="10"/>
  <c r="H507" i="17"/>
  <c r="I40" i="15" s="1"/>
  <c r="H504" i="17"/>
  <c r="I42" i="15" s="1"/>
  <c r="C101" i="17" l="1"/>
  <c r="J16" i="17" s="1"/>
  <c r="D105" i="17"/>
  <c r="D117" i="17" s="1"/>
  <c r="D447" i="17"/>
  <c r="E301" i="17" l="1"/>
  <c r="J499" i="17" s="1"/>
  <c r="I48" i="15" s="1"/>
  <c r="E282" i="17"/>
  <c r="J488" i="17" s="1"/>
  <c r="I47" i="15" s="1"/>
  <c r="H16" i="17"/>
  <c r="I21" i="15" s="1"/>
  <c r="E126" i="17"/>
  <c r="C127" i="17"/>
  <c r="D131" i="17" s="1"/>
  <c r="C15" i="10"/>
  <c r="C538" i="17" l="1"/>
  <c r="B538" i="17" s="1"/>
  <c r="C537" i="17"/>
  <c r="B537" i="17" s="1"/>
  <c r="J17" i="17"/>
  <c r="C16" i="12"/>
  <c r="C19" i="10"/>
  <c r="E276" i="10" s="1"/>
  <c r="D134" i="17"/>
  <c r="E140" i="17" s="1"/>
  <c r="D404" i="17"/>
  <c r="D410" i="17" s="1"/>
  <c r="D445" i="17"/>
  <c r="E442" i="17" s="1"/>
  <c r="D328" i="17"/>
  <c r="E324" i="17" s="1"/>
  <c r="H17" i="17" l="1"/>
  <c r="C17" i="12" s="1"/>
  <c r="C541" i="17"/>
  <c r="B541" i="17" s="1"/>
  <c r="E412" i="17"/>
  <c r="E413" i="17" s="1"/>
  <c r="I507" i="17" s="1"/>
  <c r="I41" i="15" s="1"/>
  <c r="C539" i="17"/>
  <c r="B539" i="17" s="1"/>
  <c r="F330" i="17"/>
  <c r="F331" i="17" s="1"/>
  <c r="I506" i="17" s="1"/>
  <c r="I39" i="15" s="1"/>
  <c r="E153" i="17"/>
  <c r="D148" i="17" s="1"/>
  <c r="D156" i="17" s="1"/>
  <c r="I15" i="15" s="1"/>
  <c r="E472" i="17"/>
  <c r="E470" i="17" s="1"/>
  <c r="J123" i="12"/>
  <c r="J122" i="12"/>
  <c r="J121" i="12"/>
  <c r="J119" i="12"/>
  <c r="J118" i="12"/>
  <c r="I22" i="15" l="1"/>
  <c r="J507" i="17"/>
  <c r="J506" i="17"/>
  <c r="C542" i="17"/>
  <c r="B542" i="17" s="1"/>
  <c r="F449" i="17"/>
  <c r="F450" i="17" s="1"/>
  <c r="I518" i="17" s="1"/>
  <c r="I44" i="15" s="1"/>
  <c r="C536" i="17"/>
  <c r="B536" i="17" s="1"/>
  <c r="F144" i="17"/>
  <c r="C543" i="17"/>
  <c r="B543" i="17" s="1"/>
  <c r="F474" i="17"/>
  <c r="F475" i="17" s="1"/>
  <c r="I519" i="17" s="1"/>
  <c r="I45" i="15" s="1"/>
  <c r="J120" i="12"/>
  <c r="I14" i="15" l="1"/>
  <c r="J519" i="17"/>
  <c r="J518" i="17"/>
  <c r="D173" i="17"/>
  <c r="I28" i="15" s="1"/>
  <c r="I30" i="15" s="1"/>
  <c r="D165" i="17"/>
  <c r="D171" i="17"/>
  <c r="I27" i="15" s="1"/>
  <c r="D163" i="17"/>
  <c r="D175" i="17"/>
  <c r="I25" i="15" s="1"/>
  <c r="D177" i="17"/>
  <c r="D169" i="17"/>
  <c r="D161" i="17"/>
  <c r="D167" i="17"/>
  <c r="I24" i="15" s="1"/>
  <c r="E80" i="10" l="1"/>
  <c r="D183" i="17" s="1"/>
  <c r="H164" i="17" s="1"/>
  <c r="J88" i="10"/>
  <c r="I5" i="15" s="1"/>
  <c r="J83" i="10"/>
  <c r="H167" i="17"/>
  <c r="C14" i="10"/>
  <c r="J17" i="10" s="1"/>
  <c r="J18" i="10" s="1"/>
  <c r="I6" i="15"/>
  <c r="D366" i="17"/>
  <c r="C16" i="10"/>
  <c r="D199" i="17"/>
  <c r="I19" i="15" s="1"/>
  <c r="D196" i="17"/>
  <c r="I23" i="15" s="1"/>
  <c r="D364" i="17"/>
  <c r="E362" i="17"/>
  <c r="E373" i="17" s="1"/>
  <c r="E234" i="17"/>
  <c r="E73" i="10" l="1"/>
  <c r="D187" i="17"/>
  <c r="I16" i="15" s="1"/>
  <c r="D193" i="17"/>
  <c r="C29" i="17"/>
  <c r="I17" i="15"/>
  <c r="E360" i="17"/>
  <c r="F375" i="17"/>
  <c r="F376" i="17" s="1"/>
  <c r="J508" i="17" s="1"/>
  <c r="I46" i="15" s="1"/>
  <c r="I10" i="15" l="1"/>
  <c r="E88" i="10"/>
  <c r="I18" i="15"/>
  <c r="H170" i="17"/>
  <c r="H257" i="17" s="1"/>
  <c r="H259" i="17" s="1"/>
  <c r="F220" i="17"/>
  <c r="D231" i="17"/>
  <c r="C19" i="12"/>
  <c r="F208" i="17"/>
  <c r="H491" i="17" s="1"/>
  <c r="J491" i="17" s="1"/>
  <c r="D227" i="17"/>
  <c r="F218" i="17"/>
  <c r="E357" i="17"/>
  <c r="F368" i="17" s="1"/>
  <c r="F369" i="17" s="1"/>
  <c r="I504" i="17" s="1"/>
  <c r="I43" i="15" s="1"/>
  <c r="D215" i="17" l="1"/>
  <c r="H492" i="17" s="1"/>
  <c r="J492" i="17" s="1"/>
  <c r="J490" i="17" s="1"/>
  <c r="E242" i="17"/>
  <c r="J494" i="17" s="1"/>
  <c r="G257" i="17"/>
  <c r="F257" i="17"/>
  <c r="H260" i="17"/>
  <c r="I49" i="15" s="1"/>
  <c r="J257" i="17"/>
  <c r="J259" i="17"/>
  <c r="G259" i="17"/>
  <c r="F259" i="17"/>
  <c r="C540" i="17"/>
  <c r="B540" i="17" s="1"/>
  <c r="J504" i="17"/>
  <c r="J509" i="17" s="1"/>
  <c r="I510" i="17" s="1"/>
  <c r="J510" i="17" s="1"/>
  <c r="J503" i="17" s="1"/>
  <c r="I520" i="17" s="1"/>
  <c r="J520" i="17" s="1"/>
  <c r="J521" i="17" s="1"/>
  <c r="G260" i="17" l="1"/>
  <c r="H498" i="17" s="1"/>
  <c r="J498" i="17" s="1"/>
  <c r="H497" i="17"/>
  <c r="F260" i="17"/>
  <c r="H496" i="17" s="1"/>
  <c r="J496" i="17" s="1"/>
  <c r="J260" i="17"/>
  <c r="D262" i="17" s="1"/>
  <c r="I497" i="17" s="1"/>
  <c r="I513" i="17"/>
  <c r="J513" i="17" s="1"/>
  <c r="I515" i="17" s="1"/>
  <c r="J515" i="17" s="1"/>
  <c r="I522" i="17"/>
  <c r="J522" i="17" s="1"/>
  <c r="J517" i="17" s="1"/>
  <c r="J497" i="17" l="1"/>
  <c r="J495" i="17" s="1"/>
  <c r="J489" i="17" s="1"/>
  <c r="J500" i="17" s="1"/>
  <c r="I501" i="17" s="1"/>
  <c r="J501" i="17" s="1"/>
  <c r="J487" i="17" s="1"/>
  <c r="J514" i="17"/>
  <c r="J512" i="17" s="1"/>
  <c r="J524" i="17" l="1"/>
  <c r="D70" i="10"/>
  <c r="I4" i="15" l="1"/>
  <c r="D54" i="12" l="1"/>
  <c r="C313" i="10" l="1"/>
  <c r="B313" i="10" s="1"/>
  <c r="G278" i="10"/>
  <c r="G279" i="10" s="1"/>
  <c r="J300" i="10" s="1"/>
  <c r="I36" i="15" s="1"/>
  <c r="E84" i="10" l="1"/>
  <c r="F187" i="10"/>
  <c r="D68" i="12"/>
  <c r="I31" i="15" s="1"/>
  <c r="I8" i="15" l="1"/>
  <c r="C64" i="12"/>
  <c r="D72" i="12" s="1"/>
  <c r="I32" i="15" s="1"/>
  <c r="I2" i="15" l="1"/>
  <c r="I91" i="12"/>
  <c r="I92" i="12"/>
  <c r="F90" i="12"/>
  <c r="F105" i="12" s="1"/>
  <c r="I105" i="12" s="1"/>
  <c r="I90" i="12"/>
  <c r="F91" i="12"/>
  <c r="F106" i="12" s="1"/>
  <c r="I106" i="12" s="1"/>
  <c r="F92" i="12"/>
  <c r="F107" i="12" s="1"/>
  <c r="I107" i="12" s="1"/>
  <c r="E81" i="12" l="1"/>
  <c r="H116" i="12" s="1"/>
  <c r="J116" i="12" s="1"/>
  <c r="E96" i="12"/>
  <c r="H117" i="12" s="1"/>
  <c r="J117" i="12" s="1"/>
  <c r="J115" i="12" l="1"/>
  <c r="J114" i="12" s="1"/>
  <c r="I7" i="15" l="1"/>
  <c r="I29" i="15" s="1"/>
  <c r="F189" i="10"/>
  <c r="F111" i="10"/>
  <c r="I11" i="15" l="1"/>
  <c r="F185" i="10"/>
  <c r="I3" i="15"/>
  <c r="C309" i="10"/>
  <c r="B309" i="10" s="1"/>
  <c r="E108" i="10"/>
  <c r="G223" i="10"/>
  <c r="H133" i="10"/>
  <c r="F131" i="10" s="1"/>
  <c r="F150" i="10" s="1"/>
  <c r="G136" i="10"/>
  <c r="F151" i="10" s="1"/>
  <c r="H297" i="10" l="1"/>
  <c r="I33" i="15" s="1"/>
  <c r="F225" i="10"/>
  <c r="F226" i="10" s="1"/>
  <c r="J298" i="10" s="1"/>
  <c r="I37" i="15" s="1"/>
  <c r="I9" i="15"/>
  <c r="F100" i="10"/>
  <c r="H289" i="10" s="1"/>
  <c r="J289" i="10" s="1"/>
  <c r="F128" i="10"/>
  <c r="D104" i="10"/>
  <c r="F119" i="10" s="1"/>
  <c r="J290" i="10" s="1"/>
  <c r="E96" i="10"/>
  <c r="H288" i="10" s="1"/>
  <c r="J288" i="10" s="1"/>
  <c r="E151" i="10"/>
  <c r="H151" i="10"/>
  <c r="D151" i="10"/>
  <c r="E150" i="10"/>
  <c r="D150" i="10"/>
  <c r="H150" i="10"/>
  <c r="K187" i="10" l="1"/>
  <c r="J287" i="10"/>
  <c r="F125" i="10"/>
  <c r="F149" i="10"/>
  <c r="G182" i="10" l="1"/>
  <c r="F191" i="10" s="1"/>
  <c r="F192" i="10" s="1"/>
  <c r="I296" i="10" s="1"/>
  <c r="J296" i="10" s="1"/>
  <c r="G216" i="10"/>
  <c r="C311" i="10" s="1"/>
  <c r="B311" i="10" s="1"/>
  <c r="G252" i="10"/>
  <c r="C312" i="10" s="1"/>
  <c r="B312" i="10" s="1"/>
  <c r="D149" i="10"/>
  <c r="D152" i="10" s="1"/>
  <c r="H292" i="10" s="1"/>
  <c r="J292" i="10" s="1"/>
  <c r="H149" i="10"/>
  <c r="H152" i="10" s="1"/>
  <c r="F152" i="10"/>
  <c r="H293" i="10" s="1"/>
  <c r="E149" i="10"/>
  <c r="E152" i="10" s="1"/>
  <c r="H294" i="10" s="1"/>
  <c r="J294" i="10" s="1"/>
  <c r="C310" i="10" l="1"/>
  <c r="B310" i="10" s="1"/>
  <c r="G254" i="10"/>
  <c r="G255" i="10" s="1"/>
  <c r="I299" i="10" s="1"/>
  <c r="I35" i="15" s="1"/>
  <c r="F218" i="10"/>
  <c r="F219" i="10" s="1"/>
  <c r="I297" i="10" s="1"/>
  <c r="I34" i="15" s="1"/>
  <c r="D154" i="10"/>
  <c r="I293" i="10" s="1"/>
  <c r="J293" i="10" s="1"/>
  <c r="J291" i="10" s="1"/>
  <c r="J297" i="10" l="1"/>
  <c r="J299" i="10"/>
  <c r="J295" i="10" l="1"/>
  <c r="I301" i="10" s="1"/>
  <c r="J301" i="10" s="1"/>
  <c r="J286" i="10" s="1"/>
</calcChain>
</file>

<file path=xl/sharedStrings.xml><?xml version="1.0" encoding="utf-8"?>
<sst xmlns="http://schemas.openxmlformats.org/spreadsheetml/2006/main" count="1104" uniqueCount="707">
  <si>
    <t>m³/s</t>
  </si>
  <si>
    <t>m</t>
  </si>
  <si>
    <t>MW</t>
  </si>
  <si>
    <t>m/s</t>
  </si>
  <si>
    <t>Perda de carga total</t>
  </si>
  <si>
    <t>Escavação</t>
  </si>
  <si>
    <t>Concreto</t>
  </si>
  <si>
    <r>
      <t>NA</t>
    </r>
    <r>
      <rPr>
        <vertAlign val="subscript"/>
        <sz val="10"/>
        <rFont val="Arial"/>
        <family val="2"/>
      </rPr>
      <t>max</t>
    </r>
    <r>
      <rPr>
        <sz val="10"/>
        <rFont val="Arial"/>
        <family val="2"/>
      </rPr>
      <t xml:space="preserve"> =</t>
    </r>
  </si>
  <si>
    <t>(Nível de água máximo normal do reservatório)</t>
  </si>
  <si>
    <r>
      <t>El</t>
    </r>
    <r>
      <rPr>
        <vertAlign val="subscript"/>
        <sz val="10"/>
        <rFont val="Arial"/>
        <family val="2"/>
      </rPr>
      <t>sol</t>
    </r>
    <r>
      <rPr>
        <sz val="10"/>
        <rFont val="Arial"/>
        <family val="2"/>
      </rPr>
      <t xml:space="preserve"> =</t>
    </r>
  </si>
  <si>
    <t>(Cota da soleira da tomada de água)</t>
  </si>
  <si>
    <r>
      <t>El</t>
    </r>
    <r>
      <rPr>
        <vertAlign val="subscript"/>
        <sz val="10"/>
        <rFont val="Arial"/>
        <family val="2"/>
      </rPr>
      <t>te</t>
    </r>
    <r>
      <rPr>
        <sz val="10"/>
        <rFont val="Arial"/>
        <family val="2"/>
      </rPr>
      <t xml:space="preserve"> =</t>
    </r>
  </si>
  <si>
    <r>
      <t>e</t>
    </r>
    <r>
      <rPr>
        <vertAlign val="subscript"/>
        <sz val="10"/>
        <rFont val="Arial"/>
        <family val="2"/>
      </rPr>
      <t>te</t>
    </r>
    <r>
      <rPr>
        <sz val="10"/>
        <rFont val="Arial"/>
        <family val="2"/>
      </rPr>
      <t xml:space="preserve"> =</t>
    </r>
  </si>
  <si>
    <t>Dados para dimensionamento:</t>
  </si>
  <si>
    <r>
      <t>N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=</t>
    </r>
  </si>
  <si>
    <t>unidades</t>
  </si>
  <si>
    <t>(Número de unidades geradoras)</t>
  </si>
  <si>
    <r>
      <t>N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 xml:space="preserve"> =</t>
    </r>
  </si>
  <si>
    <t>(Número de unidades geradoras por conduto ou túnel forçado, quando for o caso)</t>
  </si>
  <si>
    <r>
      <t>D</t>
    </r>
    <r>
      <rPr>
        <vertAlign val="subscript"/>
        <sz val="10"/>
        <rFont val="Arial"/>
        <family val="2"/>
      </rPr>
      <t>ab</t>
    </r>
    <r>
      <rPr>
        <sz val="10"/>
        <rFont val="Arial"/>
        <family val="2"/>
      </rPr>
      <t xml:space="preserve"> =</t>
    </r>
  </si>
  <si>
    <t>(Diâmetro interno do conduto associado à tomada de água - adutor, túnel ou conduto forçado)</t>
  </si>
  <si>
    <r>
      <t>NA</t>
    </r>
    <r>
      <rPr>
        <vertAlign val="subscript"/>
        <sz val="10"/>
        <rFont val="Arial"/>
        <family val="2"/>
      </rPr>
      <t>máx</t>
    </r>
    <r>
      <rPr>
        <sz val="10"/>
        <rFont val="Arial"/>
        <family val="2"/>
      </rPr>
      <t xml:space="preserve"> =</t>
    </r>
  </si>
  <si>
    <t>Dados para quantificação:</t>
  </si>
  <si>
    <t>(Cota média do terreno na área da estrutura)</t>
  </si>
  <si>
    <r>
      <t>Q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= </t>
    </r>
  </si>
  <si>
    <t>(Vazão turbinada máxima total)</t>
  </si>
  <si>
    <r>
      <t>e</t>
    </r>
    <r>
      <rPr>
        <vertAlign val="subscript"/>
        <sz val="10"/>
        <rFont val="Arial"/>
        <family val="2"/>
      </rPr>
      <t xml:space="preserve">te </t>
    </r>
    <r>
      <rPr>
        <sz val="10"/>
        <rFont val="Arial"/>
        <family val="2"/>
      </rPr>
      <t>=</t>
    </r>
  </si>
  <si>
    <t>(Espessura média da camada de solo na área da estrutura)</t>
  </si>
  <si>
    <t>P' =</t>
  </si>
  <si>
    <t>(Potência instalada inicial)</t>
  </si>
  <si>
    <r>
      <t>N</t>
    </r>
    <r>
      <rPr>
        <vertAlign val="subscript"/>
        <sz val="10"/>
        <rFont val="Arial"/>
        <family val="2"/>
      </rPr>
      <t xml:space="preserve">g </t>
    </r>
    <r>
      <rPr>
        <sz val="10"/>
        <rFont val="Arial"/>
        <family val="2"/>
      </rPr>
      <t>=</t>
    </r>
  </si>
  <si>
    <t>(Número de unidades geradoras - não o conhecendo, digitar o valor zero; será adotado o valor calculado)</t>
  </si>
  <si>
    <r>
      <t>NA</t>
    </r>
    <r>
      <rPr>
        <vertAlign val="subscript"/>
        <sz val="10"/>
        <rFont val="Arial"/>
        <family val="2"/>
      </rPr>
      <t>med</t>
    </r>
    <r>
      <rPr>
        <sz val="10"/>
        <rFont val="Arial"/>
        <family val="2"/>
      </rPr>
      <t xml:space="preserve"> =</t>
    </r>
  </si>
  <si>
    <t>(Nível de água médio do reservatório)</t>
  </si>
  <si>
    <r>
      <t>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=</t>
    </r>
  </si>
  <si>
    <t>(Nível de água normal do canal de fuga)</t>
  </si>
  <si>
    <r>
      <t>NA</t>
    </r>
    <r>
      <rPr>
        <vertAlign val="subscript"/>
        <sz val="10"/>
        <rFont val="Arial"/>
        <family val="2"/>
      </rPr>
      <t>nfu</t>
    </r>
    <r>
      <rPr>
        <sz val="10"/>
        <rFont val="Arial"/>
        <family val="2"/>
      </rPr>
      <t xml:space="preserve">  =</t>
    </r>
  </si>
  <si>
    <t>(Nível de água mínimo no canal de fuga)</t>
  </si>
  <si>
    <r>
      <t>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>%=</t>
    </r>
  </si>
  <si>
    <t>%</t>
  </si>
  <si>
    <r>
      <t>f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</si>
  <si>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(Fator de potência)</t>
  </si>
  <si>
    <r>
      <t>h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=</t>
    </r>
  </si>
  <si>
    <t>(Rendimento médio dos geradores)</t>
  </si>
  <si>
    <t xml:space="preserve">T = </t>
  </si>
  <si>
    <t>°C</t>
  </si>
  <si>
    <t>(Temperatura média da água no verão)</t>
  </si>
  <si>
    <t xml:space="preserve">f   =  </t>
  </si>
  <si>
    <t xml:space="preserve">Hz  </t>
  </si>
  <si>
    <t>(Freqüência do sistema elétrico)</t>
  </si>
  <si>
    <t>Dados para a quantificação</t>
  </si>
  <si>
    <t>(Cota média do terrreno na área da casa de força)</t>
  </si>
  <si>
    <t>(Espessura média da camada de terra na área da casa de força)</t>
  </si>
  <si>
    <r>
      <t>V</t>
    </r>
    <r>
      <rPr>
        <vertAlign val="subscript"/>
        <sz val="10"/>
        <rFont val="Arial"/>
        <family val="2"/>
      </rPr>
      <t>cd</t>
    </r>
    <r>
      <rPr>
        <sz val="10"/>
        <rFont val="Arial"/>
        <family val="2"/>
      </rPr>
      <t xml:space="preserve"> =</t>
    </r>
  </si>
  <si>
    <t>m³</t>
  </si>
  <si>
    <r>
      <t>NA</t>
    </r>
    <r>
      <rPr>
        <vertAlign val="subscript"/>
        <sz val="10"/>
        <rFont val="Arial"/>
        <family val="2"/>
      </rPr>
      <t>xfu</t>
    </r>
    <r>
      <rPr>
        <sz val="10"/>
        <rFont val="Arial"/>
        <family val="2"/>
      </rPr>
      <t xml:space="preserve">  =</t>
    </r>
  </si>
  <si>
    <t>(Nível de água máximo do canal de fuga)</t>
  </si>
  <si>
    <t>1.  DADOS BÁSICOS:</t>
  </si>
  <si>
    <t>m²</t>
  </si>
  <si>
    <t>t</t>
  </si>
  <si>
    <t xml:space="preserve">
</t>
  </si>
  <si>
    <t>MANUAL DE INVENTÁRIO HIDRELÉTRICO DE BACIAS HIDROGRÁFICAS</t>
  </si>
  <si>
    <t>ARQUIVO</t>
  </si>
  <si>
    <t>REVISÃO.:</t>
  </si>
  <si>
    <t>1.  DADOS BÁSICOS</t>
  </si>
  <si>
    <t>sendo:</t>
  </si>
  <si>
    <t>Assim:</t>
  </si>
  <si>
    <t>a) ESCAVAÇÃO</t>
  </si>
  <si>
    <t>R$/m³</t>
  </si>
  <si>
    <t>R$/m²</t>
  </si>
  <si>
    <t>(Custo unitário de limpeza de superfície em rocha)</t>
  </si>
  <si>
    <r>
      <t>C</t>
    </r>
    <r>
      <rPr>
        <vertAlign val="subscript"/>
        <sz val="10"/>
        <rFont val="Arial"/>
        <family val="2"/>
      </rPr>
      <t>tf</t>
    </r>
    <r>
      <rPr>
        <sz val="10"/>
        <rFont val="Arial"/>
        <family val="2"/>
      </rPr>
      <t xml:space="preserve"> =</t>
    </r>
  </si>
  <si>
    <t>R$/m</t>
  </si>
  <si>
    <t>(Custo unitário de furo roto-percussivo)</t>
  </si>
  <si>
    <r>
      <t>C</t>
    </r>
    <r>
      <rPr>
        <vertAlign val="subscript"/>
        <sz val="10"/>
        <rFont val="Arial"/>
        <family val="2"/>
      </rPr>
      <t>ic</t>
    </r>
    <r>
      <rPr>
        <sz val="10"/>
        <rFont val="Arial"/>
        <family val="2"/>
      </rPr>
      <t xml:space="preserve"> =</t>
    </r>
  </si>
  <si>
    <t>(Custo unitário de injeção com calda de cimento)</t>
  </si>
  <si>
    <t>R$</t>
  </si>
  <si>
    <t>Taxas de cimento e armadura:</t>
  </si>
  <si>
    <t>Cimento</t>
  </si>
  <si>
    <t>Armadura</t>
  </si>
  <si>
    <r>
      <t>(kg/m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</si>
  <si>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Totais:</t>
  </si>
  <si>
    <t>CSC</t>
  </si>
  <si>
    <t>Volume</t>
  </si>
  <si>
    <t>C. unitário</t>
  </si>
  <si>
    <t>C. total</t>
  </si>
  <si>
    <t>(t)</t>
  </si>
  <si>
    <t>(m³)</t>
  </si>
  <si>
    <t>(R$/m³)</t>
  </si>
  <si>
    <t>(R$)</t>
  </si>
  <si>
    <t>TOTAL</t>
  </si>
  <si>
    <t>-</t>
  </si>
  <si>
    <t>Custo unitário médio:      $ =</t>
  </si>
  <si>
    <t>(C. total/Volume)</t>
  </si>
  <si>
    <t xml:space="preserve">  Preços de DEZ/06</t>
  </si>
  <si>
    <t>PREÇO UNITÁRIO</t>
  </si>
  <si>
    <t>CUSTO</t>
  </si>
  <si>
    <t>CONTA</t>
  </si>
  <si>
    <t>ITEM</t>
  </si>
  <si>
    <t>UN.</t>
  </si>
  <si>
    <t>QUANT.</t>
  </si>
  <si>
    <t>10³ R$</t>
  </si>
  <si>
    <t xml:space="preserve">               Escavação</t>
  </si>
  <si>
    <t>gl</t>
  </si>
  <si>
    <t xml:space="preserve">                    Comum</t>
  </si>
  <si>
    <t xml:space="preserve">                    Em rocha a céu aberto</t>
  </si>
  <si>
    <t xml:space="preserve">                    Subterrânea em rocha</t>
  </si>
  <si>
    <t xml:space="preserve">               Limpeza e tratamento de fundação</t>
  </si>
  <si>
    <t xml:space="preserve">               Concreto</t>
  </si>
  <si>
    <t xml:space="preserve">                     Cimento</t>
  </si>
  <si>
    <t xml:space="preserve">                     Concreto sem cimento</t>
  </si>
  <si>
    <t xml:space="preserve">                     Armadura</t>
  </si>
  <si>
    <t>LINHA</t>
  </si>
  <si>
    <t>COMENTÁRIO</t>
  </si>
  <si>
    <r>
      <t xml:space="preserve">TÍTULO: TOMADA D'ÁGUA A GRAVIDADE     </t>
    </r>
    <r>
      <rPr>
        <sz val="9"/>
        <rFont val="Arial"/>
        <family val="2"/>
      </rPr>
      <t/>
    </r>
  </si>
  <si>
    <t>576tg.xls</t>
  </si>
  <si>
    <t>1. DADOS BÁSICOS</t>
  </si>
  <si>
    <t>2. DIMENSIONAMENTO</t>
  </si>
  <si>
    <r>
      <t>&gt;</t>
    </r>
    <r>
      <rPr>
        <sz val="10"/>
        <rFont val="Arial"/>
        <family val="2"/>
      </rPr>
      <t xml:space="preserve"> NÚMERO DE ABERTURAS NA TOMADA DE ÁGUA</t>
    </r>
  </si>
  <si>
    <r>
      <t>&gt;</t>
    </r>
    <r>
      <rPr>
        <sz val="10"/>
        <rFont val="Arial"/>
        <family val="2"/>
      </rPr>
      <t xml:space="preserve"> ALTURA DA TOMADA DE ÁGUA</t>
    </r>
  </si>
  <si>
    <r>
      <t>H</t>
    </r>
    <r>
      <rPr>
        <vertAlign val="subscript"/>
        <sz val="10"/>
        <rFont val="Arial"/>
        <family val="2"/>
      </rPr>
      <t>bl</t>
    </r>
    <r>
      <rPr>
        <sz val="10"/>
        <rFont val="Arial"/>
        <family val="2"/>
      </rPr>
      <t xml:space="preserve"> =</t>
    </r>
  </si>
  <si>
    <t>m   (altura de borda livre)</t>
  </si>
  <si>
    <r>
      <t>&gt;</t>
    </r>
    <r>
      <rPr>
        <sz val="10"/>
        <rFont val="Arial"/>
        <family val="2"/>
      </rPr>
      <t xml:space="preserve"> LARGURA DO BLOCO DA UNIDADE NO SENTIDO TRANSVERSAL AO FLUXO</t>
    </r>
  </si>
  <si>
    <r>
      <t>&gt;</t>
    </r>
    <r>
      <rPr>
        <sz val="10"/>
        <rFont val="Arial"/>
        <family val="2"/>
      </rPr>
      <t xml:space="preserve"> LARGURA TOTAL</t>
    </r>
  </si>
  <si>
    <r>
      <t>&gt;</t>
    </r>
    <r>
      <rPr>
        <sz val="10"/>
        <rFont val="Arial"/>
        <family val="2"/>
      </rPr>
      <t xml:space="preserve"> COMPRIMENTO DA TOMADA DE ÁGUA NA BASE</t>
    </r>
  </si>
  <si>
    <t>3. QUANTIFICAÇÃO E CUSTOS</t>
  </si>
  <si>
    <t>a)</t>
  </si>
  <si>
    <t>ESCAVAÇÃO</t>
  </si>
  <si>
    <r>
      <t xml:space="preserve">&gt; </t>
    </r>
    <r>
      <rPr>
        <sz val="10"/>
        <rFont val="Arial"/>
        <family val="2"/>
      </rPr>
      <t>ESCAVAÇÃO COMUM</t>
    </r>
  </si>
  <si>
    <r>
      <t>&gt;</t>
    </r>
    <r>
      <rPr>
        <sz val="10"/>
        <rFont val="Arial"/>
        <family val="2"/>
      </rPr>
      <t xml:space="preserve"> ESCAVAÇÃO EM ROCHA A CÉU ABERTO</t>
    </r>
  </si>
  <si>
    <r>
      <t>&gt;</t>
    </r>
    <r>
      <rPr>
        <sz val="10"/>
        <rFont val="Arial"/>
        <family val="2"/>
      </rPr>
      <t xml:space="preserve"> LIMPEZA E TRATAMENTO DE FUNDAÇÃO</t>
    </r>
  </si>
  <si>
    <t>Área de fundação:</t>
  </si>
  <si>
    <r>
      <t>m</t>
    </r>
    <r>
      <rPr>
        <b/>
        <vertAlign val="superscript"/>
        <sz val="10"/>
        <rFont val="Arial"/>
        <family val="2"/>
      </rPr>
      <t>2</t>
    </r>
  </si>
  <si>
    <t>Comprimento de perfuração:</t>
  </si>
  <si>
    <t>m       (Comprimento de um furo de injeção de cimento  -  máximo 40 m)</t>
  </si>
  <si>
    <t>Custo total de Limpeza e Tratamento de Fundação:</t>
  </si>
  <si>
    <r>
      <t>C</t>
    </r>
    <r>
      <rPr>
        <vertAlign val="subscript"/>
        <sz val="10"/>
        <rFont val="Arial"/>
        <family val="2"/>
      </rPr>
      <t xml:space="preserve">lf </t>
    </r>
    <r>
      <rPr>
        <sz val="10"/>
        <rFont val="Arial"/>
        <family val="2"/>
      </rPr>
      <t>=</t>
    </r>
  </si>
  <si>
    <r>
      <t>R$/m</t>
    </r>
    <r>
      <rPr>
        <vertAlign val="superscript"/>
        <sz val="10"/>
        <rFont val="Arial"/>
        <family val="2"/>
      </rPr>
      <t>2</t>
    </r>
  </si>
  <si>
    <r>
      <t>C</t>
    </r>
    <r>
      <rPr>
        <vertAlign val="subscript"/>
        <sz val="10"/>
        <rFont val="Arial"/>
        <family val="2"/>
      </rPr>
      <t xml:space="preserve">tf </t>
    </r>
    <r>
      <rPr>
        <sz val="10"/>
        <rFont val="Arial"/>
        <family val="2"/>
      </rPr>
      <t>=</t>
    </r>
  </si>
  <si>
    <r>
      <t>C</t>
    </r>
    <r>
      <rPr>
        <vertAlign val="subscript"/>
        <sz val="10"/>
        <rFont val="Arial"/>
        <family val="2"/>
      </rPr>
      <t xml:space="preserve">ic </t>
    </r>
    <r>
      <rPr>
        <sz val="10"/>
        <rFont val="Arial"/>
        <family val="2"/>
      </rPr>
      <t>=</t>
    </r>
  </si>
  <si>
    <t>b)</t>
  </si>
  <si>
    <t>CONCRETO</t>
  </si>
  <si>
    <r>
      <t>&gt;</t>
    </r>
    <r>
      <rPr>
        <sz val="10"/>
        <rFont val="Arial"/>
        <family val="2"/>
      </rPr>
      <t xml:space="preserve"> VOLUME</t>
    </r>
  </si>
  <si>
    <r>
      <t>m</t>
    </r>
    <r>
      <rPr>
        <b/>
        <vertAlign val="superscript"/>
        <sz val="10"/>
        <rFont val="Arial"/>
        <family val="2"/>
      </rPr>
      <t>3</t>
    </r>
  </si>
  <si>
    <t>Volume de concreto das paredes externas:</t>
  </si>
  <si>
    <t>Volume de concreto do bloco da unidade:</t>
  </si>
  <si>
    <t>Volume de concreto do contraforte a jusante:</t>
  </si>
  <si>
    <t>Parede externa</t>
  </si>
  <si>
    <t>Bloco</t>
  </si>
  <si>
    <t>Contraforte</t>
  </si>
  <si>
    <t>c)</t>
  </si>
  <si>
    <t>EQUIPAMENTOS</t>
  </si>
  <si>
    <r>
      <t xml:space="preserve">&gt; </t>
    </r>
    <r>
      <rPr>
        <sz val="10"/>
        <rFont val="Arial"/>
        <family val="2"/>
      </rPr>
      <t>COMPORTA VAGÃO COM RODAS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</si>
  <si>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O custo de aquisição de cada comporta é obtido através do gráfico B.23 e independe da localização do</t>
    </r>
  </si>
  <si>
    <t xml:space="preserve">       aproveitamento.</t>
  </si>
  <si>
    <t>Equação da curva do gráfico B.23:</t>
  </si>
  <si>
    <t xml:space="preserve">   sendo:</t>
  </si>
  <si>
    <r>
      <t>m</t>
    </r>
    <r>
      <rPr>
        <vertAlign val="superscript"/>
        <sz val="10"/>
        <rFont val="Arial"/>
        <family val="2"/>
      </rPr>
      <t>4</t>
    </r>
  </si>
  <si>
    <t xml:space="preserve">Custos de transporte e seguros (5%), de montagem e testes (8%) e de impostos e taxas (28%): </t>
  </si>
  <si>
    <t>R$/unidade</t>
  </si>
  <si>
    <t>Custo da comporta instalada:</t>
  </si>
  <si>
    <r>
      <t>&gt;</t>
    </r>
    <r>
      <rPr>
        <sz val="10"/>
        <rFont val="Arial"/>
        <family val="2"/>
      </rPr>
      <t xml:space="preserve"> COMPORTA ENSECADEIRA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</si>
  <si>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O custo de aquisição de cada comporta da tomada de água é obtido no gráfico B.25 e independe da localização do</t>
    </r>
  </si>
  <si>
    <t xml:space="preserve">     aproveitamento.</t>
  </si>
  <si>
    <t>Equação da curva do gráfico B.25:</t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</si>
  <si>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Custo global de aquisição de guias e partes fixas embutidas no concreto extras da tomada de água independe da localização do</t>
    </r>
  </si>
  <si>
    <t xml:space="preserve">      aproveitamento.</t>
  </si>
  <si>
    <t>Custo das guias e partes fixas instaladas:</t>
  </si>
  <si>
    <r>
      <t>&gt;</t>
    </r>
    <r>
      <rPr>
        <sz val="10"/>
        <rFont val="Arial"/>
        <family val="2"/>
      </rPr>
      <t xml:space="preserve"> GUINDASTE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</si>
  <si>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Custo de aquisição do pórtico rolante da tomada de água é obtido no gráfico B.27 e independe da localização do</t>
    </r>
  </si>
  <si>
    <t>Equação da curva do gráfico B.27:</t>
  </si>
  <si>
    <t>Custo do pórtico rolante instalado:</t>
  </si>
  <si>
    <r>
      <t xml:space="preserve">&gt; </t>
    </r>
    <r>
      <rPr>
        <sz val="10"/>
        <rFont val="Arial"/>
        <family val="2"/>
      </rPr>
      <t>GRADES E LIMPA GRADES</t>
    </r>
  </si>
  <si>
    <t>Equação da curva do gráfico B.28:</t>
  </si>
  <si>
    <t>Custo das grades instaladas:</t>
  </si>
  <si>
    <t>4.  EXTRATO DO ORÇAMENTO PADRÃO</t>
  </si>
  <si>
    <t>Preços de DEZ/06</t>
  </si>
  <si>
    <t>.12.19.30</t>
  </si>
  <si>
    <t xml:space="preserve">     TOMADA DE ÁGUA</t>
  </si>
  <si>
    <t>.12.19.30.12</t>
  </si>
  <si>
    <t xml:space="preserve">          Escavação</t>
  </si>
  <si>
    <t>.12.19.30.12.10</t>
  </si>
  <si>
    <t xml:space="preserve">               Comum</t>
  </si>
  <si>
    <t>.12.19.30.12.11</t>
  </si>
  <si>
    <t xml:space="preserve">               Em rocha a céu aberto</t>
  </si>
  <si>
    <t>.12.19.30.13</t>
  </si>
  <si>
    <t xml:space="preserve">          Limpeza e tratamento de fundação</t>
  </si>
  <si>
    <t>.12.19.30.14</t>
  </si>
  <si>
    <t xml:space="preserve">          Concreto</t>
  </si>
  <si>
    <t>.12.19.30.14.13</t>
  </si>
  <si>
    <t xml:space="preserve">               Cimento</t>
  </si>
  <si>
    <t>.12.19.30.14.14</t>
  </si>
  <si>
    <t xml:space="preserve">               Concreto sem cimento</t>
  </si>
  <si>
    <t>.12.19.30.14.15</t>
  </si>
  <si>
    <t xml:space="preserve">               Armadura</t>
  </si>
  <si>
    <t>.12.19.30.23</t>
  </si>
  <si>
    <t xml:space="preserve">          Equipamento</t>
  </si>
  <si>
    <t>.12.19.30.23.16</t>
  </si>
  <si>
    <t xml:space="preserve">               Comp.guinchos</t>
  </si>
  <si>
    <t>un</t>
  </si>
  <si>
    <t>.12.19.30.23.17</t>
  </si>
  <si>
    <t xml:space="preserve">               Comporta ensecadeira</t>
  </si>
  <si>
    <t>.12.19.30.23.56</t>
  </si>
  <si>
    <t xml:space="preserve">               Peças fixas extras</t>
  </si>
  <si>
    <t>.12.19.30.23.20</t>
  </si>
  <si>
    <t xml:space="preserve">               Guindaste</t>
  </si>
  <si>
    <t>.12.19.30.23.21</t>
  </si>
  <si>
    <t xml:space="preserve">               Grades  /  Limpa-grades</t>
  </si>
  <si>
    <t>.12.19.30.17</t>
  </si>
  <si>
    <t xml:space="preserve">          Outros custos</t>
  </si>
  <si>
    <t>5.  RELATÓRIO DE OCORRÊNCIAS</t>
  </si>
  <si>
    <t>Mensagens:</t>
  </si>
  <si>
    <t>2.  QUEDAS</t>
  </si>
  <si>
    <t>Queda bruta máxima</t>
  </si>
  <si>
    <r>
      <t xml:space="preserve">      H</t>
    </r>
    <r>
      <rPr>
        <vertAlign val="subscript"/>
        <sz val="10"/>
        <rFont val="Arial"/>
        <family val="2"/>
      </rPr>
      <t>b1</t>
    </r>
    <r>
      <rPr>
        <sz val="10"/>
        <rFont val="Arial"/>
        <family val="2"/>
      </rPr>
      <t xml:space="preserve"> = NA</t>
    </r>
    <r>
      <rPr>
        <vertAlign val="subscript"/>
        <sz val="10"/>
        <rFont val="Arial"/>
        <family val="2"/>
      </rPr>
      <t>max</t>
    </r>
    <r>
      <rPr>
        <sz val="10"/>
        <rFont val="Arial"/>
        <family val="2"/>
      </rPr>
      <t xml:space="preserve"> - 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  =</t>
    </r>
  </si>
  <si>
    <t>Queda bruta média</t>
  </si>
  <si>
    <r>
      <t xml:space="preserve">      H</t>
    </r>
    <r>
      <rPr>
        <vertAlign val="subscript"/>
        <sz val="10"/>
        <rFont val="Arial"/>
        <family val="2"/>
      </rPr>
      <t>b2</t>
    </r>
    <r>
      <rPr>
        <sz val="10"/>
        <rFont val="Arial"/>
        <family val="2"/>
      </rPr>
      <t xml:space="preserve"> = NA</t>
    </r>
    <r>
      <rPr>
        <vertAlign val="subscript"/>
        <sz val="10"/>
        <rFont val="Arial"/>
        <family val="2"/>
      </rPr>
      <t>med</t>
    </r>
    <r>
      <rPr>
        <sz val="10"/>
        <rFont val="Arial"/>
        <family val="2"/>
      </rPr>
      <t xml:space="preserve"> - 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  =</t>
    </r>
  </si>
  <si>
    <t>d)</t>
  </si>
  <si>
    <t>Queda líquida máxima</t>
  </si>
  <si>
    <r>
      <t xml:space="preserve">      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 H</t>
    </r>
    <r>
      <rPr>
        <vertAlign val="subscript"/>
        <sz val="10"/>
        <rFont val="Arial"/>
        <family val="2"/>
      </rPr>
      <t>b1</t>
    </r>
    <r>
      <rPr>
        <sz val="10"/>
        <rFont val="Arial"/>
        <family val="2"/>
      </rPr>
      <t xml:space="preserve"> - 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</si>
  <si>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e)</t>
  </si>
  <si>
    <t>Queda líquida média</t>
  </si>
  <si>
    <r>
      <t xml:space="preserve">      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= H</t>
    </r>
    <r>
      <rPr>
        <vertAlign val="subscript"/>
        <sz val="10"/>
        <rFont val="Arial"/>
        <family val="2"/>
      </rPr>
      <t>b2</t>
    </r>
    <r>
      <rPr>
        <sz val="10"/>
        <rFont val="Arial"/>
        <family val="2"/>
      </rPr>
      <t xml:space="preserve"> - 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</si>
  <si>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Potência total do conjunto das turbinas</t>
  </si>
  <si>
    <t>kW</t>
  </si>
  <si>
    <t>Número de unidades geradoras</t>
  </si>
  <si>
    <r>
      <t>P</t>
    </r>
    <r>
      <rPr>
        <vertAlign val="subscript"/>
        <sz val="10"/>
        <rFont val="Arial"/>
        <family val="2"/>
      </rPr>
      <t>1xt</t>
    </r>
    <r>
      <rPr>
        <sz val="10"/>
        <rFont val="Arial"/>
        <family val="2"/>
      </rPr>
      <t xml:space="preserve"> =</t>
    </r>
  </si>
  <si>
    <t xml:space="preserve">       Observação:  O número de unidades geradoras deve ser, de preferência, maior ou igual a dois.</t>
  </si>
  <si>
    <t>(Valor calculado)</t>
  </si>
  <si>
    <t>Potência inicial de uma unidade geradora</t>
  </si>
  <si>
    <r>
      <t>Assim, para este aproveitamento, com 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</si>
  <si>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1nt</t>
    </r>
    <r>
      <rPr>
        <sz val="10"/>
        <rFont val="Arial"/>
        <family val="2"/>
      </rPr>
      <t xml:space="preserve"> =</t>
    </r>
  </si>
  <si>
    <t>E para a potência inicial de uma unidade geradora:</t>
  </si>
  <si>
    <t>Potência de uma unidade geradora</t>
  </si>
  <si>
    <r>
      <t>k</t>
    </r>
    <r>
      <rPr>
        <vertAlign val="subscript"/>
        <sz val="10"/>
        <rFont val="Arial"/>
        <family val="2"/>
      </rPr>
      <t>p</t>
    </r>
  </si>
  <si>
    <t>Para</t>
  </si>
  <si>
    <t>Potência instalada</t>
  </si>
  <si>
    <t>f)</t>
  </si>
  <si>
    <t>Potência de uma turbina</t>
  </si>
  <si>
    <t>4.  DIMENSIONAMENTO DA TURBINA</t>
  </si>
  <si>
    <t>Velocidades</t>
  </si>
  <si>
    <t>com:</t>
  </si>
  <si>
    <r>
      <t>&gt;</t>
    </r>
    <r>
      <rPr>
        <sz val="10"/>
        <rFont val="Arial"/>
        <family val="2"/>
      </rPr>
      <t xml:space="preserve">  Velocidade específica inicial:   (do Gráfico 5.8.2.04)</t>
    </r>
  </si>
  <si>
    <r>
      <t>&gt;</t>
    </r>
    <r>
      <rPr>
        <sz val="10"/>
        <rFont val="Arial"/>
        <family val="2"/>
      </rPr>
      <t xml:space="preserve">  Velocidade inicial:</t>
    </r>
  </si>
  <si>
    <t>rpm</t>
  </si>
  <si>
    <r>
      <t>&gt;</t>
    </r>
    <r>
      <rPr>
        <sz val="10"/>
        <rFont val="Arial"/>
        <family val="2"/>
      </rPr>
      <t xml:space="preserve">  Número de pólos do gerador:</t>
    </r>
  </si>
  <si>
    <t>p =</t>
  </si>
  <si>
    <t>pólos</t>
  </si>
  <si>
    <r>
      <t>&gt;</t>
    </r>
    <r>
      <rPr>
        <sz val="10"/>
        <rFont val="Arial"/>
        <family val="2"/>
      </rPr>
      <t xml:space="preserve">  Velocidade síncrona:</t>
    </r>
  </si>
  <si>
    <r>
      <t>&gt;</t>
    </r>
    <r>
      <rPr>
        <sz val="10"/>
        <rFont val="Arial"/>
        <family val="2"/>
      </rPr>
      <t xml:space="preserve">  Velocidade específica:</t>
    </r>
  </si>
  <si>
    <t>Diâmetro e posição do rotor da turbina</t>
  </si>
  <si>
    <r>
      <t>&gt;</t>
    </r>
    <r>
      <rPr>
        <sz val="10"/>
        <rFont val="Arial"/>
        <family val="2"/>
      </rPr>
      <t xml:space="preserve">  Coeficiente de velocidade periférica:</t>
    </r>
  </si>
  <si>
    <r>
      <t>&gt;</t>
    </r>
    <r>
      <rPr>
        <sz val="10"/>
        <rFont val="Arial"/>
        <family val="2"/>
      </rPr>
      <t xml:space="preserve">  Diâmetro do rotor da turbina:</t>
    </r>
  </si>
  <si>
    <r>
      <t>&gt;</t>
    </r>
    <r>
      <rPr>
        <sz val="10"/>
        <rFont val="Arial"/>
        <family val="2"/>
      </rPr>
      <t xml:space="preserve">  Altura de sucção:</t>
    </r>
  </si>
  <si>
    <t xml:space="preserve">        (Coeficiente de Thoma)</t>
  </si>
  <si>
    <t>Dimensões da turbina, da caixa espiral, do gerador e do tubo de sucção</t>
  </si>
  <si>
    <t>Dimensões da casa de força</t>
  </si>
  <si>
    <t xml:space="preserve">     Assim:</t>
  </si>
  <si>
    <r>
      <t>B</t>
    </r>
    <r>
      <rPr>
        <vertAlign val="subscript"/>
        <sz val="10"/>
        <color indexed="8"/>
        <rFont val="Arial"/>
        <family val="2"/>
      </rPr>
      <t>am</t>
    </r>
    <r>
      <rPr>
        <sz val="10"/>
        <color indexed="8"/>
        <rFont val="Arial"/>
        <family val="2"/>
      </rPr>
      <t xml:space="preserve"> =</t>
    </r>
  </si>
  <si>
    <t>5.  QUANTIFICAÇÃO E CUSTOS</t>
  </si>
  <si>
    <r>
      <t>&gt;</t>
    </r>
    <r>
      <rPr>
        <sz val="10"/>
        <color indexed="8"/>
        <rFont val="Arial"/>
        <family val="2"/>
      </rPr>
      <t xml:space="preserve">  Escavação comum</t>
    </r>
  </si>
  <si>
    <r>
      <t>&gt;</t>
    </r>
    <r>
      <rPr>
        <sz val="10"/>
        <color indexed="8"/>
        <rFont val="Arial"/>
        <family val="2"/>
      </rPr>
      <t xml:space="preserve">  Escavação em rocha</t>
    </r>
  </si>
  <si>
    <t>Limpeza e tratamento de fundação</t>
  </si>
  <si>
    <r>
      <t>C</t>
    </r>
    <r>
      <rPr>
        <vertAlign val="subscript"/>
        <sz val="10"/>
        <rFont val="Arial"/>
        <family val="2"/>
      </rPr>
      <t>lf</t>
    </r>
    <r>
      <rPr>
        <sz val="10"/>
        <rFont val="Arial"/>
        <family val="2"/>
      </rPr>
      <t xml:space="preserve"> =</t>
    </r>
  </si>
  <si>
    <t>(Custo unitário de injeção de cimento)</t>
  </si>
  <si>
    <t>(kg/m³)</t>
  </si>
  <si>
    <t>Superestrutura</t>
  </si>
  <si>
    <t>Dental</t>
  </si>
  <si>
    <t>Benfeitorias na área da usina</t>
  </si>
  <si>
    <t>Equação da curva ajustada no gráfico B.19 (aqui já multiplicada pela Potência Instalada):</t>
  </si>
  <si>
    <t>Instalações e acabamentos</t>
  </si>
  <si>
    <t>Equação da curva ajustada no gráfico B.20 (aqui já multiplicada pela Potência Instalada):</t>
  </si>
  <si>
    <t>Equipamentos</t>
  </si>
  <si>
    <r>
      <t>&gt;</t>
    </r>
    <r>
      <rPr>
        <sz val="10"/>
        <rFont val="Arial"/>
        <family val="2"/>
      </rPr>
      <t xml:space="preserve"> TURBINAS</t>
    </r>
  </si>
  <si>
    <t>kW/rpm</t>
  </si>
  <si>
    <t>Custo da turbina instalada:</t>
  </si>
  <si>
    <r>
      <t>&gt;</t>
    </r>
    <r>
      <rPr>
        <sz val="10"/>
        <rFont val="Arial"/>
        <family val="2"/>
      </rPr>
      <t xml:space="preserve"> COMPORTA ENSECADEIRA DO TUBO DE SUCÇÃO</t>
    </r>
  </si>
  <si>
    <t>Quantidade de comportas ensecadeiras:</t>
  </si>
  <si>
    <r>
      <t>Assim, para este aproveitamento tem-se:  N</t>
    </r>
    <r>
      <rPr>
        <vertAlign val="subscript"/>
        <sz val="10"/>
        <rFont val="Arial"/>
        <family val="2"/>
      </rPr>
      <t>sl</t>
    </r>
    <r>
      <rPr>
        <sz val="10"/>
        <rFont val="Arial"/>
        <family val="2"/>
      </rPr>
      <t xml:space="preserve"> =</t>
    </r>
  </si>
  <si>
    <t>comportas</t>
  </si>
  <si>
    <t>Custo de aquisição:</t>
  </si>
  <si>
    <t>Equação da curva ajustada no gráfico B.25:</t>
  </si>
  <si>
    <r>
      <t>H</t>
    </r>
    <r>
      <rPr>
        <vertAlign val="subscript"/>
        <sz val="10"/>
        <rFont val="Arial"/>
        <family val="2"/>
      </rPr>
      <t>cp</t>
    </r>
    <r>
      <rPr>
        <sz val="10"/>
        <rFont val="Arial"/>
        <family val="2"/>
      </rPr>
      <t xml:space="preserve"> = R =</t>
    </r>
  </si>
  <si>
    <t>Preço global de aquisição de guias e partes fixas:</t>
  </si>
  <si>
    <r>
      <t>&gt;</t>
    </r>
    <r>
      <rPr>
        <sz val="10"/>
        <rFont val="Arial"/>
        <family val="2"/>
      </rPr>
      <t xml:space="preserve"> GERADORES:</t>
    </r>
  </si>
  <si>
    <t>MVA/rpm</t>
  </si>
  <si>
    <t>MVA</t>
  </si>
  <si>
    <t>Tem-se para o custo de um hidrogerador vertical:</t>
  </si>
  <si>
    <t>$ =</t>
  </si>
  <si>
    <t>Custo do gerador instalado:</t>
  </si>
  <si>
    <r>
      <t>&gt;</t>
    </r>
    <r>
      <rPr>
        <sz val="10"/>
        <rFont val="Arial"/>
        <family val="2"/>
      </rPr>
      <t xml:space="preserve"> EQUIPAMENTO ELÉTRICO ACESSÓRIO</t>
    </r>
  </si>
  <si>
    <t>Deve ser considerado como igual a  18% do custo global da Conta .13 - Turbinas e Geradores.</t>
  </si>
  <si>
    <r>
      <t>&gt;</t>
    </r>
    <r>
      <rPr>
        <sz val="10"/>
        <rFont val="Arial"/>
        <family val="2"/>
      </rPr>
      <t xml:space="preserve"> GUINDASTE E PONTE ROLANTE</t>
    </r>
  </si>
  <si>
    <t>Ponte rolante:</t>
  </si>
  <si>
    <t>Equação da curva ajustada no gráfico B.17:</t>
  </si>
  <si>
    <r>
      <t>$ = 25,12 (kVA/rpm)</t>
    </r>
    <r>
      <rPr>
        <vertAlign val="superscript"/>
        <sz val="10"/>
        <rFont val="Arial"/>
        <family val="2"/>
      </rPr>
      <t>0,6961</t>
    </r>
    <r>
      <rPr>
        <sz val="10"/>
        <rFont val="Arial"/>
        <family val="2"/>
      </rPr>
      <t xml:space="preserve"> = </t>
    </r>
  </si>
  <si>
    <t>kVA/rpm</t>
  </si>
  <si>
    <t>Custo da ponte rolante instalada:</t>
  </si>
  <si>
    <t>Pórtico rolante:</t>
  </si>
  <si>
    <t>Equação da curva ajustada no gráfico B.18:</t>
  </si>
  <si>
    <r>
      <t>$ = 59,506 (kVA/rpm)</t>
    </r>
    <r>
      <rPr>
        <vertAlign val="superscript"/>
        <sz val="10"/>
        <rFont val="Arial"/>
        <family val="2"/>
      </rPr>
      <t>0,6621</t>
    </r>
    <r>
      <rPr>
        <sz val="10"/>
        <rFont val="Arial"/>
        <family val="2"/>
      </rPr>
      <t xml:space="preserve"> = </t>
    </r>
  </si>
  <si>
    <t>Sendo:</t>
  </si>
  <si>
    <t>kVA/rpm =</t>
  </si>
  <si>
    <r>
      <t>&gt;</t>
    </r>
    <r>
      <rPr>
        <sz val="10"/>
        <rFont val="Arial"/>
        <family val="2"/>
      </rPr>
      <t xml:space="preserve"> EQUIPAMENTOS DIVERSOS</t>
    </r>
  </si>
  <si>
    <t>Deve ser considerado como igual a  6% do custo global da Conta .13 - Turbinas e Geradores.</t>
  </si>
  <si>
    <t>6.  EXTRATO DO O.P.E.</t>
  </si>
  <si>
    <t>ESTRUTURAS E OUTRAS BENFEITORIAS</t>
  </si>
  <si>
    <t>.11.12</t>
  </si>
  <si>
    <t xml:space="preserve">     BENFEITORIAS NA ÁREA DA USINA</t>
  </si>
  <si>
    <t>.11.13</t>
  </si>
  <si>
    <t xml:space="preserve">     CASA DE FORÇA</t>
  </si>
  <si>
    <t>.11.13.00.12</t>
  </si>
  <si>
    <t>.11.13.00.12.10</t>
  </si>
  <si>
    <t>.11.13.00.12.11</t>
  </si>
  <si>
    <t xml:space="preserve">               Rocha a céu aberto</t>
  </si>
  <si>
    <t>.11.13.00.12.12</t>
  </si>
  <si>
    <t xml:space="preserve">               Subterrânea em rocha</t>
  </si>
  <si>
    <t xml:space="preserve">.11.13.00.13   </t>
  </si>
  <si>
    <t>.11.13.00.14</t>
  </si>
  <si>
    <t>.11.13.00.14.13</t>
  </si>
  <si>
    <t>.11.13.00.14.14</t>
  </si>
  <si>
    <t>.11.13.00.14.15</t>
  </si>
  <si>
    <t>.11.13.00.15</t>
  </si>
  <si>
    <t xml:space="preserve">          Instalações e acabamentos</t>
  </si>
  <si>
    <t xml:space="preserve">     Subtotal da conta .11</t>
  </si>
  <si>
    <t>.11.27</t>
  </si>
  <si>
    <t xml:space="preserve">     EVENTUAIS DA CONTA .11</t>
  </si>
  <si>
    <t>TURBINAS E GERADORES</t>
  </si>
  <si>
    <t>.13.13.00.23.17</t>
  </si>
  <si>
    <t>.13.13.00.23.20</t>
  </si>
  <si>
    <t xml:space="preserve">     Guindaste</t>
  </si>
  <si>
    <t>.13.13.00.23.28</t>
  </si>
  <si>
    <t>.13.13.00.23.29</t>
  </si>
  <si>
    <t xml:space="preserve">     Gerador</t>
  </si>
  <si>
    <t>.13.13.00.23.56</t>
  </si>
  <si>
    <t>.13.27</t>
  </si>
  <si>
    <t>EQUIPAMENTO ELÉTRICO ACESSÓRIO</t>
  </si>
  <si>
    <t>.14.00.00.23</t>
  </si>
  <si>
    <t xml:space="preserve">     Equipamento</t>
  </si>
  <si>
    <t>.14.27</t>
  </si>
  <si>
    <t>DIVERSOS EQUIPAMENTOS DA USINA</t>
  </si>
  <si>
    <t>.15.13.00.23.20</t>
  </si>
  <si>
    <t xml:space="preserve">     Ponte rolante</t>
  </si>
  <si>
    <t xml:space="preserve">     Pórtico rolante </t>
  </si>
  <si>
    <t>.15.00.00.23.31</t>
  </si>
  <si>
    <t xml:space="preserve">     Equipamentos diversos</t>
  </si>
  <si>
    <t xml:space="preserve">     Subtotal    15.</t>
  </si>
  <si>
    <t>.15.27</t>
  </si>
  <si>
    <t xml:space="preserve">     EVENTUAIS 15.</t>
  </si>
  <si>
    <t>TOTAL DA ESTRUTURA</t>
  </si>
  <si>
    <t>7.  RELATÓRIO DE OCORRÊNCIAS</t>
  </si>
  <si>
    <t>TÍTULO: CANAL DE FUGA</t>
  </si>
  <si>
    <t>576fu.xls</t>
  </si>
  <si>
    <t>REVISÃO :</t>
  </si>
  <si>
    <t xml:space="preserve">                  Dados para dimensionamento:</t>
  </si>
  <si>
    <t>(Comprimento médio do canal de fuga)</t>
  </si>
  <si>
    <t>m =</t>
  </si>
  <si>
    <t>(Inclinação média do talude lateral, distância horizontal para um desnível de 1,0 m)</t>
  </si>
  <si>
    <t>(Largura da casa de força, exceto para a equipada com turbinas Pelton)</t>
  </si>
  <si>
    <t>(Velocidade média do escoamento no canal de fuga, preferivelmente inferior a 1,5 m/s)</t>
  </si>
  <si>
    <t xml:space="preserve">                  Dados para quantificação:</t>
  </si>
  <si>
    <t>(Cota média do terreno na seção 0 transversal ao eixo longitudinal do canal de fuga, junto à casa de força)</t>
  </si>
  <si>
    <t>(Espessura da camada de solo na seção 0)</t>
  </si>
  <si>
    <t>(Cota média do terreno na seção 1 transversal ao eixo longitudinal do canal de fuga no primeiro terço)</t>
  </si>
  <si>
    <t>(Espessura da camada de solo na seção 1)</t>
  </si>
  <si>
    <t>(Cota média do terreno na seção 2 transversal ao eixo longitudinal do canal de fuga no segundo terço)</t>
  </si>
  <si>
    <t>(Espessura da camada de solo na seção 2)</t>
  </si>
  <si>
    <t>2.  DIMENSIONAMENTO</t>
  </si>
  <si>
    <t xml:space="preserve">           Assim:</t>
  </si>
  <si>
    <r>
      <t>y</t>
    </r>
    <r>
      <rPr>
        <vertAlign val="subscript"/>
        <sz val="10"/>
        <rFont val="MS Sans Serif"/>
        <family val="2"/>
      </rPr>
      <t>f</t>
    </r>
    <r>
      <rPr>
        <sz val="11"/>
        <color theme="1"/>
        <rFont val="Calibri"/>
        <family val="2"/>
        <scheme val="minor"/>
      </rPr>
      <t>=</t>
    </r>
  </si>
  <si>
    <t>3.  QUANTIFICAÇÃO E CUSTOS</t>
  </si>
  <si>
    <t>Volume de escavação comum por metro na seção i do canal:</t>
  </si>
  <si>
    <t>(Profundidade de escavação em rocha na seção i do canal)</t>
  </si>
  <si>
    <t>seção 0:</t>
  </si>
  <si>
    <t>===&gt;</t>
  </si>
  <si>
    <r>
      <t>V</t>
    </r>
    <r>
      <rPr>
        <vertAlign val="subscript"/>
        <sz val="10"/>
        <rFont val="Arial"/>
        <family val="2"/>
      </rPr>
      <t>tf0</t>
    </r>
    <r>
      <rPr>
        <sz val="11"/>
        <color theme="1"/>
        <rFont val="Calibri"/>
        <family val="2"/>
        <scheme val="minor"/>
      </rPr>
      <t xml:space="preserve"> =</t>
    </r>
  </si>
  <si>
    <t>seção 1:</t>
  </si>
  <si>
    <r>
      <t>V</t>
    </r>
    <r>
      <rPr>
        <vertAlign val="subscript"/>
        <sz val="10"/>
        <rFont val="Arial"/>
        <family val="2"/>
      </rPr>
      <t>tf1</t>
    </r>
    <r>
      <rPr>
        <sz val="11"/>
        <color theme="1"/>
        <rFont val="Calibri"/>
        <family val="2"/>
        <scheme val="minor"/>
      </rPr>
      <t xml:space="preserve"> =</t>
    </r>
  </si>
  <si>
    <t>seção 2:</t>
  </si>
  <si>
    <r>
      <t>V</t>
    </r>
    <r>
      <rPr>
        <vertAlign val="subscript"/>
        <sz val="10"/>
        <rFont val="Arial"/>
        <family val="2"/>
      </rPr>
      <t>tf2</t>
    </r>
    <r>
      <rPr>
        <sz val="11"/>
        <color theme="1"/>
        <rFont val="Calibri"/>
        <family val="2"/>
        <scheme val="minor"/>
      </rPr>
      <t xml:space="preserve"> =</t>
    </r>
  </si>
  <si>
    <t>PREÇO UNITÁRIO.</t>
  </si>
  <si>
    <t>.12.19.35</t>
  </si>
  <si>
    <t xml:space="preserve">          CANAL DE FUGA</t>
  </si>
  <si>
    <t>.12.19.35.12</t>
  </si>
  <si>
    <t>.12.19.35.12.10</t>
  </si>
  <si>
    <t>.12.19.35.12.11</t>
  </si>
  <si>
    <t>.12.19.35.12.12</t>
  </si>
  <si>
    <t>.12.19.35.13</t>
  </si>
  <si>
    <t>.12.19.35.14</t>
  </si>
  <si>
    <t>.12.19.35.14.13</t>
  </si>
  <si>
    <t>.12.19.35.14.14</t>
  </si>
  <si>
    <t>.12.19.35.14.15</t>
  </si>
  <si>
    <r>
      <t>N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>=</t>
    </r>
  </si>
  <si>
    <t>tirei a parcela 10 x m</t>
  </si>
  <si>
    <t xml:space="preserve">nova fórmula: (Bfu + 4 + hri + (etei . m(solo))) </t>
  </si>
  <si>
    <t>considerei m (solo) fixo e igual a 2</t>
  </si>
  <si>
    <t>~IN</t>
  </si>
  <si>
    <t>~OUT</t>
  </si>
  <si>
    <t>dado de entrada</t>
  </si>
  <si>
    <t>valor padrão</t>
  </si>
  <si>
    <t>P'</t>
  </si>
  <si>
    <t>NAmed =(NAmax - NAmin)/2; NAmin é dado de entrado</t>
  </si>
  <si>
    <t>valor padrão, aqui arbitrário</t>
  </si>
  <si>
    <t>Na para Qmin (curva-chave); na falta de curva-chave, Nafu - 1</t>
  </si>
  <si>
    <t>Custo de limpeza e tratamento de fundação</t>
  </si>
  <si>
    <t>R</t>
  </si>
  <si>
    <t>NA para QTR10000 (curva-chave)</t>
  </si>
  <si>
    <t xml:space="preserve">qmaxturb = </t>
  </si>
  <si>
    <t>NA revistos</t>
  </si>
  <si>
    <t>limite inferior 0.13 modificado de para 0</t>
  </si>
  <si>
    <r>
      <t xml:space="preserve">TÍTULO: CASA DE FORÇA -TURBINAS BULBO    </t>
    </r>
    <r>
      <rPr>
        <sz val="9"/>
        <rFont val="Arial"/>
        <family val="2"/>
      </rPr>
      <t/>
    </r>
  </si>
  <si>
    <t>572b.xls</t>
  </si>
  <si>
    <t>REVISÃO:</t>
  </si>
  <si>
    <t>Dados para o dimensionamento</t>
  </si>
  <si>
    <t>(Perda de carga na adução, em % de Hb1)</t>
  </si>
  <si>
    <r>
      <t>V</t>
    </r>
    <r>
      <rPr>
        <vertAlign val="subscript"/>
        <sz val="10"/>
        <rFont val="Arial"/>
        <family val="2"/>
      </rPr>
      <t>cie</t>
    </r>
    <r>
      <rPr>
        <sz val="10"/>
        <rFont val="Arial"/>
        <family val="2"/>
      </rPr>
      <t xml:space="preserve"> =</t>
    </r>
  </si>
  <si>
    <t>(Volume de concreto da infra-estrutura e paredes externas)</t>
  </si>
  <si>
    <t>(Volume de concreto do dental)</t>
  </si>
  <si>
    <r>
      <t>V</t>
    </r>
    <r>
      <rPr>
        <vertAlign val="subscript"/>
        <sz val="10"/>
        <rFont val="Arial"/>
        <family val="2"/>
      </rPr>
      <t>cse</t>
    </r>
    <r>
      <rPr>
        <sz val="10"/>
        <rFont val="Arial"/>
        <family val="2"/>
      </rPr>
      <t xml:space="preserve"> =</t>
    </r>
  </si>
  <si>
    <t>(Volume de concreto da superestrutura)</t>
  </si>
  <si>
    <t>3.  POTÊNCIAS</t>
  </si>
  <si>
    <r>
      <t>Sendo P</t>
    </r>
    <r>
      <rPr>
        <vertAlign val="subscript"/>
        <sz val="10"/>
        <rFont val="Arial"/>
        <family val="2"/>
      </rPr>
      <t>1xt</t>
    </r>
    <r>
      <rPr>
        <sz val="10"/>
        <rFont val="Arial"/>
        <family val="2"/>
      </rPr>
      <t xml:space="preserve"> a potência máxima da turbina para a queda disponível, calculada abaixo:</t>
    </r>
  </si>
  <si>
    <t>m,  tem-se:</t>
  </si>
  <si>
    <t xml:space="preserve">       E para o número mínimo de unidades geradoras temos</t>
  </si>
  <si>
    <r>
      <t>Sendo P</t>
    </r>
    <r>
      <rPr>
        <vertAlign val="subscript"/>
        <sz val="10"/>
        <rFont val="Arial"/>
        <family val="2"/>
      </rPr>
      <t>1nt</t>
    </r>
    <r>
      <rPr>
        <sz val="10"/>
        <rFont val="Arial"/>
        <family val="2"/>
      </rPr>
      <t xml:space="preserve"> a potência mínima da turbina para a queda disponível, calculada abaixo:</t>
    </r>
  </si>
  <si>
    <r>
      <t>P'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=</t>
    </r>
  </si>
  <si>
    <r>
      <t>Neste aproveitamento:   k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</si>
  <si>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Assim, para este aproveitamento, com      f =</t>
  </si>
  <si>
    <t>Hz</t>
  </si>
  <si>
    <t>e      n' =</t>
  </si>
  <si>
    <t>rpm, tem-se para o número de pólos do gerador :</t>
  </si>
  <si>
    <r>
      <t>&gt;</t>
    </r>
    <r>
      <rPr>
        <sz val="10"/>
        <rFont val="Arial"/>
        <family val="2"/>
      </rPr>
      <t xml:space="preserve">  Cota de implantação:</t>
    </r>
  </si>
  <si>
    <r>
      <t>&gt;</t>
    </r>
    <r>
      <rPr>
        <sz val="10"/>
        <color indexed="8"/>
        <rFont val="Arial"/>
        <family val="2"/>
      </rPr>
      <t xml:space="preserve">  Largura do bloco da unidade</t>
    </r>
  </si>
  <si>
    <r>
      <t>&gt;</t>
    </r>
    <r>
      <rPr>
        <sz val="10"/>
        <color indexed="8"/>
        <rFont val="Arial"/>
        <family val="2"/>
      </rPr>
      <t xml:space="preserve">  Largura total da casa de força</t>
    </r>
  </si>
  <si>
    <r>
      <t>&gt;</t>
    </r>
    <r>
      <rPr>
        <sz val="10"/>
        <color indexed="8"/>
        <rFont val="Arial"/>
        <family val="2"/>
      </rPr>
      <t xml:space="preserve">  Largura da área de montagem dos equipamentos</t>
    </r>
  </si>
  <si>
    <r>
      <t>&gt;</t>
    </r>
    <r>
      <rPr>
        <sz val="10"/>
        <color indexed="8"/>
        <rFont val="Arial"/>
        <family val="2"/>
      </rPr>
      <t xml:space="preserve">  Comprimento da área de montagem</t>
    </r>
  </si>
  <si>
    <r>
      <t>&gt;</t>
    </r>
    <r>
      <rPr>
        <sz val="10"/>
        <color indexed="8"/>
        <rFont val="Arial"/>
        <family val="2"/>
      </rPr>
      <t xml:space="preserve">  Comprimento da casa de força</t>
    </r>
  </si>
  <si>
    <t>Área de Limpeza de Fundação:</t>
  </si>
  <si>
    <t>Comprimento da injeção de cimento:</t>
  </si>
  <si>
    <t>m        (Comprimento de um furo de injeção de cimento  -  máximo 40 m)</t>
  </si>
  <si>
    <t>Taxas de cimento e armadura</t>
  </si>
  <si>
    <t>Infra-estrutura e paredes externas</t>
  </si>
  <si>
    <t>Custo unitário médio:     $ =</t>
  </si>
  <si>
    <t>Equação da curva ajustada no gráfico B.13:</t>
  </si>
  <si>
    <t>$ =39,434(kW/rpm) + 3791,7=</t>
  </si>
  <si>
    <t>Equação da curva ajustada no gráfico B15:</t>
  </si>
  <si>
    <t>$ = 40947,41 [(MVA/rpm)-0,025]0,5601, para 0,0396 ≤ (MVA/rpm) ≤ 0,7333</t>
  </si>
  <si>
    <t>Turbina de eixo vertical:</t>
  </si>
  <si>
    <t>.11.</t>
  </si>
  <si>
    <t>.13.</t>
  </si>
  <si>
    <t xml:space="preserve">     Comporta ensecadeira do tubo de sucção </t>
  </si>
  <si>
    <t xml:space="preserve">     Turbina tipo Bulbo</t>
  </si>
  <si>
    <t xml:space="preserve">     Peças fixas extras </t>
  </si>
  <si>
    <t xml:space="preserve">     Subtotal      13.</t>
  </si>
  <si>
    <t xml:space="preserve">     EVENTUAIS  13.</t>
  </si>
  <si>
    <t>.14.</t>
  </si>
  <si>
    <t xml:space="preserve">     Subtotal      14.</t>
  </si>
  <si>
    <t xml:space="preserve">     EVENTUAIS  14.</t>
  </si>
  <si>
    <t>.15.</t>
  </si>
  <si>
    <t>igual a LC da turbina - A/2</t>
  </si>
  <si>
    <t>S</t>
  </si>
  <si>
    <t>L</t>
  </si>
  <si>
    <t>comporta vagão</t>
  </si>
  <si>
    <t>=SE(F90&lt;=10;2;3)</t>
  </si>
  <si>
    <t>z revisto</t>
  </si>
  <si>
    <r>
      <t>m</t>
    </r>
    <r>
      <rPr>
        <vertAlign val="superscript"/>
        <sz val="10"/>
        <color theme="4" tint="-0.249977111117893"/>
        <rFont val="Arial"/>
        <family val="2"/>
      </rPr>
      <t>4</t>
    </r>
  </si>
  <si>
    <t>limite inferior modificado de 0.16 para 0</t>
  </si>
  <si>
    <t>limite superior modificado de 54.43 para</t>
  </si>
  <si>
    <t>(igual a vagão)</t>
  </si>
  <si>
    <t>não há comporta vagão</t>
  </si>
  <si>
    <t>quantidade de vãos de uma entrada</t>
  </si>
  <si>
    <t>limite superior modificado de 700 para</t>
  </si>
  <si>
    <t xml:space="preserve">sem limite superior e para P &lt; 30 MW, custo constante; </t>
  </si>
  <si>
    <t>nesta configuração, com comporta vagão, a quantidade corresponde ao número de vãos</t>
  </si>
  <si>
    <t>limite modificado para uma unidade geradora</t>
  </si>
  <si>
    <r>
      <t>L</t>
    </r>
    <r>
      <rPr>
        <vertAlign val="subscript"/>
        <sz val="11"/>
        <color theme="1"/>
        <rFont val="Calibri"/>
        <family val="2"/>
        <scheme val="minor"/>
      </rPr>
      <t xml:space="preserve">fu </t>
    </r>
    <r>
      <rPr>
        <sz val="11"/>
        <color theme="1"/>
        <rFont val="Calibri"/>
        <family val="2"/>
        <scheme val="minor"/>
      </rPr>
      <t>=</t>
    </r>
  </si>
  <si>
    <r>
      <t>Q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=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</si>
  <si>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</si>
  <si>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r>
      <t>NA</t>
    </r>
    <r>
      <rPr>
        <vertAlign val="subscript"/>
        <sz val="11"/>
        <color theme="1"/>
        <rFont val="Calibri"/>
        <family val="2"/>
        <scheme val="minor"/>
      </rPr>
      <t>nfu</t>
    </r>
    <r>
      <rPr>
        <sz val="11"/>
        <color theme="1"/>
        <rFont val="Calibri"/>
        <family val="2"/>
        <scheme val="minor"/>
      </rPr>
      <t xml:space="preserve"> =</t>
    </r>
  </si>
  <si>
    <r>
      <t>B</t>
    </r>
    <r>
      <rPr>
        <vertAlign val="subscript"/>
        <sz val="11"/>
        <color theme="1"/>
        <rFont val="Calibri"/>
        <family val="2"/>
        <scheme val="minor"/>
      </rPr>
      <t>cf</t>
    </r>
    <r>
      <rPr>
        <sz val="11"/>
        <color theme="1"/>
        <rFont val="Calibri"/>
        <family val="2"/>
        <scheme val="minor"/>
      </rPr>
      <t>=</t>
    </r>
  </si>
  <si>
    <r>
      <t>v</t>
    </r>
    <r>
      <rPr>
        <vertAlign val="subscript"/>
        <sz val="11"/>
        <color theme="1"/>
        <rFont val="Calibri"/>
        <family val="2"/>
        <scheme val="minor"/>
      </rPr>
      <t>fu</t>
    </r>
    <r>
      <rPr>
        <sz val="11"/>
        <color theme="1"/>
        <rFont val="Calibri"/>
        <family val="2"/>
        <scheme val="minor"/>
      </rPr>
      <t>=</t>
    </r>
  </si>
  <si>
    <r>
      <t>El</t>
    </r>
    <r>
      <rPr>
        <vertAlign val="subscript"/>
        <sz val="11"/>
        <color theme="1"/>
        <rFont val="Calibri"/>
        <family val="2"/>
        <scheme val="minor"/>
      </rPr>
      <t>tf0</t>
    </r>
    <r>
      <rPr>
        <sz val="11"/>
        <color theme="1"/>
        <rFont val="Calibri"/>
        <family val="2"/>
        <scheme val="minor"/>
      </rPr>
      <t xml:space="preserve"> =</t>
    </r>
  </si>
  <si>
    <r>
      <t>e</t>
    </r>
    <r>
      <rPr>
        <vertAlign val="subscript"/>
        <sz val="11"/>
        <color theme="1"/>
        <rFont val="Calibri"/>
        <family val="2"/>
        <scheme val="minor"/>
      </rPr>
      <t xml:space="preserve">te0 </t>
    </r>
    <r>
      <rPr>
        <sz val="11"/>
        <color theme="1"/>
        <rFont val="Calibri"/>
        <family val="2"/>
        <scheme val="minor"/>
      </rPr>
      <t>=</t>
    </r>
  </si>
  <si>
    <r>
      <t>El</t>
    </r>
    <r>
      <rPr>
        <vertAlign val="subscript"/>
        <sz val="11"/>
        <color theme="1"/>
        <rFont val="Calibri"/>
        <family val="2"/>
        <scheme val="minor"/>
      </rPr>
      <t>tf1</t>
    </r>
    <r>
      <rPr>
        <sz val="11"/>
        <color theme="1"/>
        <rFont val="Calibri"/>
        <family val="2"/>
        <scheme val="minor"/>
      </rPr>
      <t xml:space="preserve"> =</t>
    </r>
  </si>
  <si>
    <r>
      <t>e</t>
    </r>
    <r>
      <rPr>
        <vertAlign val="subscript"/>
        <sz val="11"/>
        <color theme="1"/>
        <rFont val="Calibri"/>
        <family val="2"/>
        <scheme val="minor"/>
      </rPr>
      <t xml:space="preserve">te1 </t>
    </r>
    <r>
      <rPr>
        <sz val="11"/>
        <color theme="1"/>
        <rFont val="Calibri"/>
        <family val="2"/>
        <scheme val="minor"/>
      </rPr>
      <t>=</t>
    </r>
  </si>
  <si>
    <r>
      <t>El</t>
    </r>
    <r>
      <rPr>
        <vertAlign val="subscript"/>
        <sz val="11"/>
        <color theme="1"/>
        <rFont val="Calibri"/>
        <family val="2"/>
        <scheme val="minor"/>
      </rPr>
      <t>tf2</t>
    </r>
    <r>
      <rPr>
        <sz val="11"/>
        <color theme="1"/>
        <rFont val="Calibri"/>
        <family val="2"/>
        <scheme val="minor"/>
      </rPr>
      <t xml:space="preserve"> =</t>
    </r>
  </si>
  <si>
    <r>
      <t>e</t>
    </r>
    <r>
      <rPr>
        <vertAlign val="subscript"/>
        <sz val="11"/>
        <color theme="1"/>
        <rFont val="Calibri"/>
        <family val="2"/>
        <scheme val="minor"/>
      </rPr>
      <t xml:space="preserve">te2 </t>
    </r>
    <r>
      <rPr>
        <sz val="11"/>
        <color theme="1"/>
        <rFont val="Calibri"/>
        <family val="2"/>
        <scheme val="minor"/>
      </rPr>
      <t>=</t>
    </r>
  </si>
  <si>
    <r>
      <t>&gt;</t>
    </r>
    <r>
      <rPr>
        <sz val="11"/>
        <color theme="1"/>
        <rFont val="Arial"/>
        <family val="2"/>
      </rPr>
      <t xml:space="preserve">  Área da seção de escoamento:</t>
    </r>
  </si>
  <si>
    <r>
      <t>&gt;</t>
    </r>
    <r>
      <rPr>
        <sz val="11"/>
        <color theme="1"/>
        <rFont val="Arial"/>
        <family val="2"/>
      </rPr>
      <t xml:space="preserve">  Profundidade de escoamento do canal:</t>
    </r>
  </si>
  <si>
    <r>
      <t>&gt;</t>
    </r>
    <r>
      <rPr>
        <sz val="11"/>
        <color theme="1"/>
        <rFont val="Arial"/>
        <family val="2"/>
      </rPr>
      <t xml:space="preserve">  Largura do fundo do canal:</t>
    </r>
  </si>
  <si>
    <r>
      <t>&gt;</t>
    </r>
    <r>
      <rPr>
        <sz val="11"/>
        <color theme="1"/>
        <rFont val="Arial"/>
        <family val="2"/>
      </rPr>
      <t xml:space="preserve">  Cota do fundo do canal:</t>
    </r>
  </si>
  <si>
    <r>
      <t>&gt;</t>
    </r>
    <r>
      <rPr>
        <sz val="11"/>
        <color theme="1"/>
        <rFont val="Arial"/>
        <family val="2"/>
      </rPr>
      <t xml:space="preserve"> ESCAVAÇÃO COMUM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</si>
  <si>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</si>
  <si>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h</t>
    </r>
    <r>
      <rPr>
        <vertAlign val="subscript"/>
        <sz val="11"/>
        <color theme="1"/>
        <rFont val="Calibri"/>
        <family val="2"/>
        <scheme val="minor"/>
      </rPr>
      <t>r0</t>
    </r>
    <r>
      <rPr>
        <sz val="11"/>
        <color theme="1"/>
        <rFont val="Calibri"/>
        <family val="2"/>
        <scheme val="minor"/>
      </rPr>
      <t xml:space="preserve"> =</t>
    </r>
  </si>
  <si>
    <r>
      <t>h</t>
    </r>
    <r>
      <rPr>
        <vertAlign val="subscript"/>
        <sz val="11"/>
        <color theme="1"/>
        <rFont val="Calibri"/>
        <family val="2"/>
        <scheme val="minor"/>
      </rPr>
      <t>r1</t>
    </r>
    <r>
      <rPr>
        <sz val="11"/>
        <color theme="1"/>
        <rFont val="Calibri"/>
        <family val="2"/>
        <scheme val="minor"/>
      </rPr>
      <t xml:space="preserve"> =</t>
    </r>
  </si>
  <si>
    <r>
      <t>h</t>
    </r>
    <r>
      <rPr>
        <vertAlign val="subscript"/>
        <sz val="11"/>
        <color theme="1"/>
        <rFont val="Calibri"/>
        <family val="2"/>
        <scheme val="minor"/>
      </rPr>
      <t>r2</t>
    </r>
    <r>
      <rPr>
        <sz val="11"/>
        <color theme="1"/>
        <rFont val="Calibri"/>
        <family val="2"/>
        <scheme val="minor"/>
      </rPr>
      <t xml:space="preserve"> =</t>
    </r>
  </si>
  <si>
    <r>
      <t>&gt;</t>
    </r>
    <r>
      <rPr>
        <sz val="11"/>
        <color theme="1"/>
        <rFont val="Arial"/>
        <family val="2"/>
      </rPr>
      <t xml:space="preserve"> ESCAVAÇÃO EM ROCHA A CÉU ABERTO</t>
    </r>
  </si>
  <si>
    <t>b</t>
  </si>
  <si>
    <t>posição do circuito</t>
  </si>
  <si>
    <t>espessura do solo</t>
  </si>
  <si>
    <t>l</t>
  </si>
  <si>
    <t>r</t>
  </si>
  <si>
    <t>res_max0_0000_wl</t>
  </si>
  <si>
    <t>res_min0_0000_wl</t>
  </si>
  <si>
    <t>geo_qual_rock_x</t>
  </si>
  <si>
    <t>geo_soil_lbnk_th</t>
  </si>
  <si>
    <t>geo_soil_rbed_th</t>
  </si>
  <si>
    <t>geo_soil_rbnk_th</t>
  </si>
  <si>
    <t>enr_inst_cpcy_p</t>
  </si>
  <si>
    <t>enr_loss_max0_pc</t>
  </si>
  <si>
    <t>rtc_dam0_zero_wl</t>
  </si>
  <si>
    <t>rtc_dam0_a0cf_k</t>
  </si>
  <si>
    <t>rtc_dam0_b0cf_k</t>
  </si>
  <si>
    <t>lay_hsy0_lctn_x</t>
  </si>
  <si>
    <t>hsy_intk_chan_el</t>
  </si>
  <si>
    <t>hsy_intk_gate_n</t>
  </si>
  <si>
    <t>hsy_intk_gate_w</t>
  </si>
  <si>
    <t>hsy_intk_gate_h</t>
  </si>
  <si>
    <t>hsy_intk_sill_el</t>
  </si>
  <si>
    <t>hsy_intk_totl_w</t>
  </si>
  <si>
    <t>hsy_intk_totl_l</t>
  </si>
  <si>
    <t>pwh_strc_blck_n</t>
  </si>
  <si>
    <t>pwh_turb_rotr_d</t>
  </si>
  <si>
    <t>pwh_turb_clin_el</t>
  </si>
  <si>
    <t>pwh_strc_totl_w</t>
  </si>
  <si>
    <t>pwh_ably_area_w</t>
  </si>
  <si>
    <t>pwh_strc_totl_l</t>
  </si>
  <si>
    <t>pwh_strc_deck_el</t>
  </si>
  <si>
    <t>hsy_trce_max0_wl</t>
  </si>
  <si>
    <t>hsy_trce_min0_wl</t>
  </si>
  <si>
    <t>pwh_ably_area_l</t>
  </si>
  <si>
    <t>pwh_turb_bulb_l</t>
  </si>
  <si>
    <t>pwh_turb_dtub_l</t>
  </si>
  <si>
    <t>pwh_dtub_gate_n</t>
  </si>
  <si>
    <t>pwh_dtub_gate_w</t>
  </si>
  <si>
    <t>pwh_dtub_gate_h</t>
  </si>
  <si>
    <t>pwh_strc_min2_el</t>
  </si>
  <si>
    <t>hsy_trce_chan_w</t>
  </si>
  <si>
    <t>hsy_trce_chan_el</t>
  </si>
  <si>
    <t>hsy_intk_slog_n</t>
  </si>
  <si>
    <t>hsy_intk_slog_ct</t>
  </si>
  <si>
    <t>hsy_intk_cran_ct</t>
  </si>
  <si>
    <t>hsy_intk_rack_ct</t>
  </si>
  <si>
    <t>hsy_intk_embp_ct</t>
  </si>
  <si>
    <t>pwh_turb_totl_n</t>
  </si>
  <si>
    <t>pwh_turb_0000_ct</t>
  </si>
  <si>
    <t>pwh_genr_totl_n</t>
  </si>
  <si>
    <t>pwh_genr_0000_ct</t>
  </si>
  <si>
    <t>pwh_dtub_fwgt_n</t>
  </si>
  <si>
    <t>pwh_dtub_fwgt_ct</t>
  </si>
  <si>
    <t>pwh_strc_brdg_ct</t>
  </si>
  <si>
    <t>pwh_dtub_gtry_ct</t>
  </si>
  <si>
    <t>pwh_dtub_embp_ct</t>
  </si>
  <si>
    <t>pwh_misc_ldev_ct</t>
  </si>
  <si>
    <t>pwh_misc_inst_ct</t>
  </si>
  <si>
    <t>alto!</t>
  </si>
  <si>
    <r>
      <t>NA</t>
    </r>
    <r>
      <rPr>
        <vertAlign val="subscript"/>
        <sz val="11"/>
        <color theme="1"/>
        <rFont val="Calibri"/>
        <family val="2"/>
        <scheme val="minor"/>
      </rPr>
      <t>max</t>
    </r>
  </si>
  <si>
    <r>
      <t>B</t>
    </r>
    <r>
      <rPr>
        <vertAlign val="subscript"/>
        <sz val="11"/>
        <color theme="1"/>
        <rFont val="Calibri"/>
        <family val="2"/>
        <scheme val="minor"/>
      </rPr>
      <t>cn</t>
    </r>
  </si>
  <si>
    <r>
      <t>Na</t>
    </r>
    <r>
      <rPr>
        <vertAlign val="subscript"/>
        <sz val="11"/>
        <color theme="1"/>
        <rFont val="Calibri"/>
        <family val="2"/>
        <scheme val="minor"/>
      </rPr>
      <t>min</t>
    </r>
  </si>
  <si>
    <r>
      <t>El</t>
    </r>
    <r>
      <rPr>
        <vertAlign val="subscript"/>
        <sz val="11"/>
        <color theme="1"/>
        <rFont val="Calibri"/>
        <family val="2"/>
        <scheme val="minor"/>
      </rPr>
      <t>cn</t>
    </r>
  </si>
  <si>
    <r>
      <t>Na</t>
    </r>
    <r>
      <rPr>
        <vertAlign val="subscript"/>
        <sz val="11"/>
        <color theme="1"/>
        <rFont val="Calibri"/>
        <family val="2"/>
        <scheme val="minor"/>
      </rPr>
      <t>fu</t>
    </r>
  </si>
  <si>
    <r>
      <t>N</t>
    </r>
    <r>
      <rPr>
        <vertAlign val="subscript"/>
        <sz val="11"/>
        <color theme="1"/>
        <rFont val="Calibri"/>
        <family val="2"/>
        <scheme val="minor"/>
      </rPr>
      <t>at</t>
    </r>
  </si>
  <si>
    <r>
      <t>B</t>
    </r>
    <r>
      <rPr>
        <vertAlign val="subscript"/>
        <sz val="11"/>
        <color theme="1"/>
        <rFont val="Calibri"/>
        <family val="2"/>
        <scheme val="minor"/>
      </rPr>
      <t>cp</t>
    </r>
  </si>
  <si>
    <r>
      <t>e</t>
    </r>
    <r>
      <rPr>
        <vertAlign val="subscript"/>
        <sz val="11"/>
        <color theme="1"/>
        <rFont val="Calibri"/>
        <family val="2"/>
        <scheme val="minor"/>
      </rPr>
      <t>te</t>
    </r>
  </si>
  <si>
    <r>
      <t>H</t>
    </r>
    <r>
      <rPr>
        <vertAlign val="subscript"/>
        <sz val="11"/>
        <color theme="1"/>
        <rFont val="Calibri"/>
        <family val="2"/>
        <scheme val="minor"/>
      </rPr>
      <t>cp</t>
    </r>
  </si>
  <si>
    <r>
      <t>E</t>
    </r>
    <r>
      <rPr>
        <vertAlign val="subscript"/>
        <sz val="11"/>
        <color theme="1"/>
        <rFont val="Calibri"/>
        <family val="2"/>
        <scheme val="minor"/>
      </rPr>
      <t>sol</t>
    </r>
  </si>
  <si>
    <r>
      <t>B</t>
    </r>
    <r>
      <rPr>
        <vertAlign val="subscript"/>
        <sz val="11"/>
        <color theme="1"/>
        <rFont val="Calibri"/>
        <family val="2"/>
        <scheme val="minor"/>
      </rPr>
      <t>ta</t>
    </r>
  </si>
  <si>
    <r>
      <t>L</t>
    </r>
    <r>
      <rPr>
        <vertAlign val="subscript"/>
        <sz val="11"/>
        <color theme="1"/>
        <rFont val="Calibri"/>
        <family val="2"/>
        <scheme val="minor"/>
      </rPr>
      <t>ta</t>
    </r>
  </si>
  <si>
    <r>
      <t>h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%</t>
    </r>
  </si>
  <si>
    <r>
      <t>N</t>
    </r>
    <r>
      <rPr>
        <vertAlign val="subscript"/>
        <sz val="11"/>
        <color theme="1"/>
        <rFont val="Calibri"/>
        <family val="2"/>
        <scheme val="minor"/>
      </rPr>
      <t>g</t>
    </r>
  </si>
  <si>
    <r>
      <t>El</t>
    </r>
    <r>
      <rPr>
        <vertAlign val="subscript"/>
        <sz val="11"/>
        <color theme="1"/>
        <rFont val="Calibri"/>
        <family val="2"/>
        <scheme val="minor"/>
      </rPr>
      <t>d</t>
    </r>
  </si>
  <si>
    <r>
      <t>B</t>
    </r>
    <r>
      <rPr>
        <vertAlign val="subscript"/>
        <sz val="11"/>
        <color theme="1"/>
        <rFont val="Calibri"/>
        <family val="2"/>
        <scheme val="minor"/>
      </rPr>
      <t>cf</t>
    </r>
  </si>
  <si>
    <r>
      <t>B</t>
    </r>
    <r>
      <rPr>
        <vertAlign val="subscript"/>
        <sz val="11"/>
        <color theme="1"/>
        <rFont val="Calibri"/>
        <family val="2"/>
        <scheme val="minor"/>
      </rPr>
      <t>am</t>
    </r>
  </si>
  <si>
    <r>
      <t>L</t>
    </r>
    <r>
      <rPr>
        <vertAlign val="subscript"/>
        <sz val="11"/>
        <color theme="1"/>
        <rFont val="Calibri"/>
        <family val="2"/>
        <scheme val="minor"/>
      </rPr>
      <t>cf</t>
    </r>
  </si>
  <si>
    <r>
      <t>NA</t>
    </r>
    <r>
      <rPr>
        <vertAlign val="subscript"/>
        <sz val="11"/>
        <color theme="1"/>
        <rFont val="Calibri"/>
        <family val="2"/>
        <scheme val="minor"/>
      </rPr>
      <t>fu</t>
    </r>
  </si>
  <si>
    <r>
      <t>NA</t>
    </r>
    <r>
      <rPr>
        <vertAlign val="subscript"/>
        <sz val="11"/>
        <color theme="1"/>
        <rFont val="Calibri"/>
        <family val="2"/>
        <scheme val="minor"/>
      </rPr>
      <t>nfu</t>
    </r>
  </si>
  <si>
    <r>
      <t>L</t>
    </r>
    <r>
      <rPr>
        <vertAlign val="subscript"/>
        <sz val="11"/>
        <color theme="1"/>
        <rFont val="Calibri"/>
        <family val="2"/>
        <scheme val="minor"/>
      </rPr>
      <t>am</t>
    </r>
  </si>
  <si>
    <r>
      <t>N</t>
    </r>
    <r>
      <rPr>
        <vertAlign val="subscript"/>
        <sz val="11"/>
        <color theme="1"/>
        <rFont val="Calibri"/>
        <family val="2"/>
        <scheme val="minor"/>
      </rPr>
      <t>vs</t>
    </r>
  </si>
  <si>
    <r>
      <t>Q/N</t>
    </r>
    <r>
      <rPr>
        <vertAlign val="subscript"/>
        <sz val="11"/>
        <color theme="1"/>
        <rFont val="Calibri"/>
        <family val="2"/>
        <scheme val="minor"/>
      </rPr>
      <t>vs</t>
    </r>
  </si>
  <si>
    <r>
      <t>B</t>
    </r>
    <r>
      <rPr>
        <vertAlign val="subscript"/>
        <sz val="11"/>
        <color theme="1"/>
        <rFont val="Calibri"/>
        <family val="2"/>
        <scheme val="minor"/>
      </rPr>
      <t>fu</t>
    </r>
  </si>
  <si>
    <r>
      <t>El</t>
    </r>
    <r>
      <rPr>
        <vertAlign val="subscript"/>
        <sz val="11"/>
        <color theme="1"/>
        <rFont val="Calibri"/>
        <family val="2"/>
        <scheme val="minor"/>
      </rPr>
      <t>fu</t>
    </r>
  </si>
  <si>
    <t>hsy_intk_chan_w</t>
  </si>
  <si>
    <t>pwh_strc_blck_w</t>
  </si>
  <si>
    <r>
      <t>B</t>
    </r>
    <r>
      <rPr>
        <vertAlign val="subscript"/>
        <sz val="11"/>
        <rFont val="Calibri"/>
        <family val="2"/>
        <scheme val="minor"/>
      </rPr>
      <t>1cf</t>
    </r>
  </si>
  <si>
    <t>pwh_strc_conc_m3</t>
  </si>
  <si>
    <t>Volume cheio</t>
  </si>
  <si>
    <t>Volume vazio</t>
  </si>
  <si>
    <t>Calculado geometricamente</t>
  </si>
  <si>
    <t>Percentual fixo</t>
  </si>
  <si>
    <t>raiz do produto das dimensões A e B na entrada da turbina bulbo</t>
  </si>
  <si>
    <t>Bcp e Hcp  correspondente às dimensões A e B da bulbo</t>
  </si>
  <si>
    <t>Dab = Dimensão B da entrada da bulbo</t>
  </si>
  <si>
    <t>Aqui, igual à largura da Tomada d´Água</t>
  </si>
  <si>
    <t>calculado acima</t>
  </si>
  <si>
    <t>hsy_intk_totl_h</t>
  </si>
  <si>
    <t>hsy_intk_subm_h</t>
  </si>
  <si>
    <r>
      <t>H</t>
    </r>
    <r>
      <rPr>
        <vertAlign val="subscript"/>
        <sz val="11"/>
        <rFont val="Calibri"/>
        <family val="2"/>
        <scheme val="minor"/>
      </rPr>
      <t>ta</t>
    </r>
  </si>
  <si>
    <r>
      <t>h</t>
    </r>
    <r>
      <rPr>
        <vertAlign val="subscript"/>
        <sz val="11"/>
        <rFont val="Calibri"/>
        <family val="2"/>
        <scheme val="minor"/>
      </rPr>
      <t>s</t>
    </r>
  </si>
  <si>
    <r>
      <t>D</t>
    </r>
    <r>
      <rPr>
        <vertAlign val="subscript"/>
        <sz val="11"/>
        <color theme="1"/>
        <rFont val="Calibri"/>
        <family val="2"/>
        <scheme val="minor"/>
      </rPr>
      <t>K</t>
    </r>
  </si>
  <si>
    <t>dam_crst_0000_el</t>
  </si>
  <si>
    <t>Laje TA para casa de Força Bulbo modificada de 2,5 para 4,0 m</t>
  </si>
  <si>
    <t>B1ta = 1.2 x B + 2.4</t>
  </si>
  <si>
    <t>Pilares</t>
  </si>
  <si>
    <t>calculado na planilha da casa de força = hsb1phouse</t>
  </si>
  <si>
    <t>calculado na planilha da casa de força =hsb1phouse</t>
  </si>
  <si>
    <t>hsy_pstk_brch_n</t>
  </si>
  <si>
    <r>
      <t>N</t>
    </r>
    <r>
      <rPr>
        <vertAlign val="subscript"/>
        <sz val="11"/>
        <rFont val="Calibri"/>
        <family val="2"/>
        <scheme val="minor"/>
      </rPr>
      <t>t</t>
    </r>
  </si>
  <si>
    <t xml:space="preserve">hs = </t>
  </si>
  <si>
    <t xml:space="preserve">soleira mín = </t>
  </si>
  <si>
    <t>hyd_dam0_rbnk_el</t>
  </si>
  <si>
    <t>$</t>
  </si>
  <si>
    <t>fixo</t>
  </si>
  <si>
    <t>Cálculo simplificado do volume de concreto:</t>
  </si>
  <si>
    <t>BLOCO</t>
  </si>
  <si>
    <t>AM</t>
  </si>
  <si>
    <t>20% do volume total</t>
  </si>
  <si>
    <t>Pilares, vigas e muros laterais</t>
  </si>
  <si>
    <t xml:space="preserve">limite inferior de 30 modificado para </t>
  </si>
  <si>
    <t xml:space="preserve">limite inferior de 0.0329 modificado para </t>
  </si>
  <si>
    <t xml:space="preserve">limite superior de 0.7333 modificado para </t>
  </si>
  <si>
    <t xml:space="preserve">limite inferior de 68.9 modificado para </t>
  </si>
  <si>
    <t xml:space="preserve">limite superior de 4582 modificado para </t>
  </si>
  <si>
    <t>equação modificada de  40947,41 *(MVA/rpm)^0.5601 para</t>
  </si>
  <si>
    <t>=10300*ln(MVA/rpm)+43600</t>
  </si>
  <si>
    <t>pwh_strc_min1_el</t>
  </si>
  <si>
    <t>pwh_deck_dfld_q</t>
  </si>
  <si>
    <t>parcela igual a 9.2 alterada para ficar igual à crista da barragem</t>
  </si>
  <si>
    <t>dam_crst_0000_l</t>
  </si>
  <si>
    <t>http://www.portalbrasil.net/igp.htm</t>
  </si>
  <si>
    <t>dam crest elevation</t>
  </si>
  <si>
    <t>dam crest width</t>
  </si>
  <si>
    <t>installed capacity</t>
  </si>
  <si>
    <t>maximum head loss (percentage)</t>
  </si>
  <si>
    <t>rock quality (1 - good; 2 - medium; 3 - poor)</t>
  </si>
  <si>
    <t>soil thickness on the left riverbank</t>
  </si>
  <si>
    <t>soil thickness on the riverbed</t>
  </si>
  <si>
    <t xml:space="preserve">elevation of the intake channel sill </t>
  </si>
  <si>
    <t>width of the intake channel</t>
  </si>
  <si>
    <t>crane cost of the intake</t>
  </si>
  <si>
    <t>embedded parts cost of the intake equipment</t>
  </si>
  <si>
    <t>gate height of the intake</t>
  </si>
  <si>
    <t>number of gates of the intake</t>
  </si>
  <si>
    <t>gate width of the intake</t>
  </si>
  <si>
    <t>trash racks cost of the intake</t>
  </si>
  <si>
    <t xml:space="preserve">elevation of the intake sill </t>
  </si>
  <si>
    <t>stoplogs cost of the intake</t>
  </si>
  <si>
    <t>number of stoplogs of the intake</t>
  </si>
  <si>
    <t>submergence of the intake</t>
  </si>
  <si>
    <t>total height of the intake</t>
  </si>
  <si>
    <t>total length of the intake</t>
  </si>
  <si>
    <t>total width of the intake</t>
  </si>
  <si>
    <t>number of penstock branch</t>
  </si>
  <si>
    <t>elevation of the tailrace sill</t>
  </si>
  <si>
    <t>width of the tailrace sill</t>
  </si>
  <si>
    <t xml:space="preserve">maximum water level in the tailrace </t>
  </si>
  <si>
    <t xml:space="preserve">minimum water level in the tailrace </t>
  </si>
  <si>
    <t>elevation of the riverbanks at the dam axis</t>
  </si>
  <si>
    <t>length of the assembly area</t>
  </si>
  <si>
    <t>width of the assembly area</t>
  </si>
  <si>
    <t>design flood for the powerhouse deck</t>
  </si>
  <si>
    <t xml:space="preserve">embedded parts cost of the draft tube equipment </t>
  </si>
  <si>
    <t xml:space="preserve">fixed wheel gates cost of the draft tube </t>
  </si>
  <si>
    <t xml:space="preserve">number of fixed wheel gates of the draft tube </t>
  </si>
  <si>
    <t>gate height of the draft tube</t>
  </si>
  <si>
    <t>number of gates of the draft tube per powerhouse block</t>
  </si>
  <si>
    <t>gate width of the draft tube</t>
  </si>
  <si>
    <t>gantry crane cost</t>
  </si>
  <si>
    <t>generator cost</t>
  </si>
  <si>
    <t>number of generators</t>
  </si>
  <si>
    <t>installations and final works cost</t>
  </si>
  <si>
    <t>land developments cost</t>
  </si>
  <si>
    <t>number of powerhouse blocks</t>
  </si>
  <si>
    <t>total width of one block of the powerhouse</t>
  </si>
  <si>
    <t>bridge crane cost</t>
  </si>
  <si>
    <t>structural concrete volume of the powerhouse</t>
  </si>
  <si>
    <t xml:space="preserve">elevation of the powerhouse deck </t>
  </si>
  <si>
    <t>elevation of the upstream powerhouse foundation</t>
  </si>
  <si>
    <t>minimum elevation of the powerhouse foundation</t>
  </si>
  <si>
    <t>total length of the powerhouse</t>
  </si>
  <si>
    <t>total width of the powerhouse</t>
  </si>
  <si>
    <t>turbine cost</t>
  </si>
  <si>
    <t>length of the bulb turbine</t>
  </si>
  <si>
    <t>center line of the generator units</t>
  </si>
  <si>
    <t>length of the draft tube</t>
  </si>
  <si>
    <t>diameter of the turbine rotor</t>
  </si>
  <si>
    <t>number of turbines</t>
  </si>
  <si>
    <t>maximum water level of the reservoir</t>
  </si>
  <si>
    <t>minimum water level of the reservoir</t>
  </si>
  <si>
    <t>coefficient "a" of the dam rating curve</t>
  </si>
  <si>
    <t>exponent "b" of the dam rating curve</t>
  </si>
  <si>
    <t>dam rating curve zero</t>
  </si>
  <si>
    <t>minimum water level in the tailrace (first value = 0)</t>
  </si>
  <si>
    <t>hydraulic system location along the dam axis (r - right; b - riverbed; l - left)</t>
  </si>
  <si>
    <t>OUT: first results for HERA calculation</t>
  </si>
  <si>
    <t>IN: information obtained by HERA after the first workflow calculation</t>
  </si>
  <si>
    <t>OUT: final results obtained after the end of the workflow</t>
  </si>
  <si>
    <t>IN: project basic information</t>
  </si>
  <si>
    <t>soil thickness on the right riverbank</t>
  </si>
  <si>
    <t xml:space="preserve">qmax1maq = </t>
  </si>
  <si>
    <t>Conversion factor for equipment costs:</t>
  </si>
  <si>
    <t>Reference date for the Brazilian Inventory Guide worksheets:</t>
  </si>
  <si>
    <t>Reference date for the study case:</t>
  </si>
  <si>
    <t>Exchange rate (dollar / reais):</t>
  </si>
  <si>
    <t>Values</t>
  </si>
  <si>
    <t>Source</t>
  </si>
  <si>
    <t>dec/06</t>
  </si>
  <si>
    <t xml:space="preserve">to access the definition of the variables in other languages, refer to Engineering dictionary.xls at HERA documentation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</si>
</sst>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0.000"/>
    <numFmt numFmtId="167" formatCode="#,##0.000"/>
    <numFmt numFmtId="168" formatCode="#,##0.0"/>
  </numFmts>
  <fonts count="8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</font>
    <font>
      <sz val="10"/>
      <color indexed="8"/>
      <name val="Arial"/>
      <family val="2"/>
    </font>
    <font>
      <sz val="10"/>
      <name val="Symbol"/>
      <family val="1"/>
      <charset val="2"/>
    </font>
    <font>
      <b/>
      <sz val="8"/>
      <name val="Arial"/>
      <family val="2"/>
    </font>
    <font>
      <sz val="10"/>
      <name val="MT Extra"/>
      <family val="1"/>
      <charset val="2"/>
    </font>
    <font>
      <vertAlign val="superscript"/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MT Extra"/>
      <family val="1"/>
      <charset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MS Sans Serif"/>
    </font>
    <font>
      <b/>
      <vertAlign val="superscript"/>
      <sz val="10"/>
      <name val="Arial"/>
      <family val="2"/>
    </font>
    <font>
      <sz val="10"/>
      <color indexed="56"/>
      <name val="Arial"/>
      <family val="2"/>
    </font>
    <font>
      <b/>
      <sz val="10"/>
      <color indexed="12"/>
      <name val="Arial"/>
      <family val="2"/>
    </font>
    <font>
      <vertAlign val="subscript"/>
      <sz val="10"/>
      <color indexed="8"/>
      <name val="Arial"/>
      <family val="2"/>
    </font>
    <font>
      <sz val="9"/>
      <name val="MS Sans Serif"/>
    </font>
    <font>
      <sz val="10"/>
      <color rgb="FFFF0000"/>
      <name val="Arial"/>
      <family val="2"/>
    </font>
    <font>
      <vertAlign val="subscript"/>
      <sz val="10"/>
      <name val="MS Sans Serif"/>
      <family val="2"/>
    </font>
    <font>
      <sz val="11"/>
      <color theme="4"/>
      <name val="Calibri"/>
      <family val="2"/>
      <scheme val="minor"/>
    </font>
    <font>
      <sz val="11"/>
      <color indexed="8"/>
      <name val="Calibri"/>
      <family val="2"/>
    </font>
    <font>
      <sz val="10"/>
      <color theme="4" tint="-0.249977111117893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.8000000000000007"/>
      <name val="Arial"/>
      <family val="2"/>
    </font>
    <font>
      <sz val="10"/>
      <name val="Arial"/>
      <family val="2"/>
    </font>
    <font>
      <b/>
      <sz val="10"/>
      <name val="MS Sans Serif"/>
    </font>
    <font>
      <b/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color theme="4" tint="-0.249977111117893"/>
      <name val="Arial"/>
      <family val="2"/>
    </font>
    <font>
      <sz val="9"/>
      <color rgb="FFFF0000"/>
      <name val="Arial"/>
      <family val="2"/>
    </font>
    <font>
      <vertAlign val="subscript"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T Extra"/>
      <family val="1"/>
      <charset val="2"/>
    </font>
    <font>
      <sz val="11"/>
      <color theme="1"/>
      <name val="Arial"/>
      <family val="2"/>
    </font>
    <font>
      <b/>
      <sz val="10"/>
      <color indexed="10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0"/>
      <color theme="4"/>
      <name val="Arial"/>
      <family val="2"/>
    </font>
    <font>
      <b/>
      <sz val="10"/>
      <color theme="4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9"/>
      <name val="Comic Sans MS"/>
      <family val="4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1"/>
      <name val="Courier New"/>
      <family val="3"/>
    </font>
    <font>
      <u/>
      <sz val="11"/>
      <color theme="10"/>
      <name val="Calibri"/>
      <family val="2"/>
      <scheme val="minor"/>
    </font>
    <font>
      <b/>
      <sz val="9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29" fillId="0" borderId="0"/>
    <xf numFmtId="43" fontId="1" fillId="0" borderId="0" applyFont="0" applyFill="0" applyBorder="0" applyAlignment="0" applyProtection="0"/>
    <xf numFmtId="0" fontId="75" fillId="0" borderId="0"/>
    <xf numFmtId="0" fontId="29" fillId="9" borderId="0" applyNumberFormat="0" applyBorder="0" applyAlignment="0" applyProtection="0"/>
    <xf numFmtId="0" fontId="6" fillId="0" borderId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69" fillId="13" borderId="0" applyNumberFormat="0" applyBorder="0" applyAlignment="0" applyProtection="0"/>
    <xf numFmtId="0" fontId="69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5" borderId="0" applyNumberFormat="0" applyBorder="0" applyAlignment="0" applyProtection="0"/>
    <xf numFmtId="0" fontId="69" fillId="13" borderId="0" applyNumberFormat="0" applyBorder="0" applyAlignment="0" applyProtection="0"/>
    <xf numFmtId="0" fontId="69" fillId="10" borderId="0" applyNumberFormat="0" applyBorder="0" applyAlignment="0" applyProtection="0"/>
    <xf numFmtId="0" fontId="70" fillId="13" borderId="0" applyNumberFormat="0" applyBorder="0" applyAlignment="0" applyProtection="0"/>
    <xf numFmtId="0" fontId="71" fillId="18" borderId="36" applyNumberFormat="0" applyAlignment="0" applyProtection="0"/>
    <xf numFmtId="0" fontId="72" fillId="19" borderId="37" applyNumberFormat="0" applyAlignment="0" applyProtection="0"/>
    <xf numFmtId="0" fontId="73" fillId="0" borderId="38" applyNumberFormat="0" applyFill="0" applyAlignment="0" applyProtection="0"/>
    <xf numFmtId="0" fontId="69" fillId="20" borderId="0" applyNumberFormat="0" applyBorder="0" applyAlignment="0" applyProtection="0"/>
    <xf numFmtId="0" fontId="69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69" fillId="23" borderId="0" applyNumberFormat="0" applyBorder="0" applyAlignment="0" applyProtection="0"/>
    <xf numFmtId="0" fontId="74" fillId="14" borderId="36" applyNumberFormat="0" applyAlignment="0" applyProtection="0"/>
    <xf numFmtId="0" fontId="76" fillId="24" borderId="0" applyNumberFormat="0" applyBorder="0" applyAlignment="0" applyProtection="0"/>
    <xf numFmtId="0" fontId="77" fillId="14" borderId="0" applyNumberFormat="0" applyBorder="0" applyAlignment="0" applyProtection="0"/>
    <xf numFmtId="0" fontId="6" fillId="11" borderId="39" applyNumberFormat="0" applyFont="0" applyAlignment="0" applyProtection="0"/>
    <xf numFmtId="0" fontId="78" fillId="18" borderId="40" applyNumberFormat="0" applyAlignment="0" applyProtection="0"/>
    <xf numFmtId="0" fontId="73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41" applyNumberFormat="0" applyFill="0" applyAlignment="0" applyProtection="0"/>
    <xf numFmtId="0" fontId="82" fillId="0" borderId="42" applyNumberFormat="0" applyFill="0" applyAlignment="0" applyProtection="0"/>
    <xf numFmtId="0" fontId="83" fillId="0" borderId="43" applyNumberFormat="0" applyFill="0" applyAlignment="0" applyProtection="0"/>
    <xf numFmtId="0" fontId="83" fillId="0" borderId="0" applyNumberFormat="0" applyFill="0" applyBorder="0" applyAlignment="0" applyProtection="0"/>
    <xf numFmtId="0" fontId="84" fillId="0" borderId="44" applyNumberFormat="0" applyFill="0" applyAlignment="0" applyProtection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0" fontId="6" fillId="0" borderId="0"/>
    <xf numFmtId="0" fontId="76" fillId="24" borderId="0" applyNumberFormat="0" applyBorder="0" applyAlignment="0" applyProtection="0"/>
    <xf numFmtId="0" fontId="77" fillId="14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1" fillId="0" borderId="0"/>
    <xf numFmtId="0" fontId="86" fillId="0" borderId="0" applyNumberFormat="0" applyFill="0" applyBorder="0" applyAlignment="0" applyProtection="0"/>
  </cellStyleXfs>
  <cellXfs count="516">
    <xf numFmtId="0" fontId="0" fillId="0" borderId="0" xfId="0"/>
    <xf numFmtId="0" fontId="2" fillId="0" borderId="0" xfId="0" applyFont="1"/>
    <xf numFmtId="0" fontId="6" fillId="0" borderId="0" xfId="0" applyFont="1"/>
    <xf numFmtId="2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quotePrefix="1" applyFont="1" applyAlignment="1">
      <alignment horizontal="left"/>
    </xf>
    <xf numFmtId="0" fontId="10" fillId="0" borderId="0" xfId="0" applyFont="1"/>
    <xf numFmtId="4" fontId="6" fillId="0" borderId="0" xfId="0" applyNumberFormat="1" applyFont="1"/>
    <xf numFmtId="2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horizontal="left"/>
    </xf>
    <xf numFmtId="0" fontId="7" fillId="0" borderId="0" xfId="0" applyFont="1"/>
    <xf numFmtId="2" fontId="6" fillId="0" borderId="4" xfId="0" applyNumberFormat="1" applyFont="1" applyBorder="1" applyAlignment="1">
      <alignment wrapText="1"/>
    </xf>
    <xf numFmtId="2" fontId="6" fillId="0" borderId="5" xfId="0" applyNumberFormat="1" applyFont="1" applyBorder="1" applyAlignment="1">
      <alignment wrapText="1"/>
    </xf>
    <xf numFmtId="2" fontId="12" fillId="0" borderId="5" xfId="0" applyNumberFormat="1" applyFont="1" applyBorder="1" applyAlignment="1">
      <alignment vertical="top" wrapText="1"/>
    </xf>
    <xf numFmtId="0" fontId="6" fillId="0" borderId="6" xfId="0" applyFont="1" applyBorder="1" applyAlignment="1">
      <alignment wrapText="1"/>
    </xf>
    <xf numFmtId="2" fontId="12" fillId="0" borderId="4" xfId="0" applyNumberFormat="1" applyFont="1" applyBorder="1" applyAlignment="1">
      <alignment vertical="top" wrapText="1"/>
    </xf>
    <xf numFmtId="14" fontId="6" fillId="0" borderId="7" xfId="0" applyNumberFormat="1" applyFont="1" applyBorder="1" applyAlignment="1">
      <alignment wrapText="1"/>
    </xf>
    <xf numFmtId="2" fontId="6" fillId="0" borderId="8" xfId="0" applyNumberFormat="1" applyFont="1" applyBorder="1" applyAlignment="1">
      <alignment wrapText="1"/>
    </xf>
    <xf numFmtId="2" fontId="6" fillId="0" borderId="0" xfId="0" applyNumberFormat="1" applyFont="1" applyAlignment="1">
      <alignment wrapText="1"/>
    </xf>
    <xf numFmtId="2" fontId="12" fillId="0" borderId="9" xfId="0" applyNumberFormat="1" applyFont="1" applyBorder="1" applyAlignment="1">
      <alignment vertical="top" wrapText="1"/>
    </xf>
    <xf numFmtId="2" fontId="7" fillId="0" borderId="10" xfId="0" applyNumberFormat="1" applyFont="1" applyBorder="1" applyAlignment="1">
      <alignment vertical="center" wrapText="1"/>
    </xf>
    <xf numFmtId="2" fontId="12" fillId="0" borderId="11" xfId="0" applyNumberFormat="1" applyFont="1" applyBorder="1" applyAlignment="1">
      <alignment vertical="top" wrapText="1"/>
    </xf>
    <xf numFmtId="0" fontId="6" fillId="0" borderId="9" xfId="0" applyFont="1" applyBorder="1" applyAlignment="1">
      <alignment wrapText="1"/>
    </xf>
    <xf numFmtId="2" fontId="6" fillId="0" borderId="6" xfId="0" applyNumberFormat="1" applyFont="1" applyBorder="1" applyAlignment="1">
      <alignment wrapText="1"/>
    </xf>
    <xf numFmtId="0" fontId="5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2" fontId="5" fillId="0" borderId="13" xfId="0" applyNumberFormat="1" applyFont="1" applyBorder="1" applyAlignment="1">
      <alignment horizontal="left" vertical="center" wrapText="1"/>
    </xf>
    <xf numFmtId="2" fontId="6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/>
    <xf numFmtId="2" fontId="6" fillId="0" borderId="0" xfId="3" applyNumberFormat="1" applyFont="1"/>
    <xf numFmtId="0" fontId="6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2" fontId="6" fillId="0" borderId="0" xfId="0" applyNumberFormat="1" applyFont="1" applyAlignment="1">
      <alignment horizontal="right"/>
    </xf>
    <xf numFmtId="10" fontId="15" fillId="0" borderId="0" xfId="2" applyNumberFormat="1" applyFont="1" applyAlignment="1">
      <alignment horizontal="center"/>
    </xf>
    <xf numFmtId="0" fontId="15" fillId="0" borderId="0" xfId="0" applyFont="1"/>
    <xf numFmtId="0" fontId="6" fillId="0" borderId="0" xfId="0" quotePrefix="1" applyFont="1" applyAlignment="1">
      <alignment horizontal="center"/>
    </xf>
    <xf numFmtId="2" fontId="7" fillId="0" borderId="0" xfId="0" applyNumberFormat="1" applyFont="1" applyAlignment="1">
      <alignment horizontal="right"/>
    </xf>
    <xf numFmtId="2" fontId="6" fillId="0" borderId="0" xfId="0" quotePrefix="1" applyNumberFormat="1" applyFont="1" applyAlignment="1">
      <alignment horizontal="left"/>
    </xf>
    <xf numFmtId="0" fontId="6" fillId="0" borderId="0" xfId="0" quotePrefix="1" applyFont="1" applyAlignment="1">
      <alignment horizontal="right"/>
    </xf>
    <xf numFmtId="3" fontId="7" fillId="0" borderId="0" xfId="0" applyNumberFormat="1" applyFont="1"/>
    <xf numFmtId="4" fontId="6" fillId="0" borderId="0" xfId="0" applyNumberFormat="1" applyFont="1" applyAlignment="1">
      <alignment horizontal="right"/>
    </xf>
    <xf numFmtId="4" fontId="6" fillId="0" borderId="0" xfId="3" applyNumberFormat="1" applyFont="1"/>
    <xf numFmtId="3" fontId="7" fillId="0" borderId="0" xfId="0" applyNumberFormat="1" applyFont="1" applyAlignment="1">
      <alignment horizontal="right"/>
    </xf>
    <xf numFmtId="0" fontId="7" fillId="0" borderId="0" xfId="0" quotePrefix="1" applyFont="1" applyAlignment="1">
      <alignment horizontal="left"/>
    </xf>
    <xf numFmtId="0" fontId="6" fillId="0" borderId="9" xfId="0" applyFont="1" applyBorder="1" applyAlignment="1">
      <alignment horizontal="right"/>
    </xf>
    <xf numFmtId="0" fontId="6" fillId="0" borderId="9" xfId="0" applyFont="1" applyBorder="1"/>
    <xf numFmtId="0" fontId="0" fillId="0" borderId="9" xfId="0" applyBorder="1"/>
    <xf numFmtId="2" fontId="6" fillId="0" borderId="13" xfId="3" applyNumberFormat="1" applyFont="1" applyBorder="1" applyAlignment="1">
      <alignment horizontal="centerContinuous"/>
    </xf>
    <xf numFmtId="0" fontId="0" fillId="0" borderId="0" xfId="0" applyAlignment="1">
      <alignment horizontal="center"/>
    </xf>
    <xf numFmtId="2" fontId="6" fillId="0" borderId="0" xfId="3" applyNumberFormat="1" applyFont="1" applyAlignment="1">
      <alignment horizontal="center"/>
    </xf>
    <xf numFmtId="2" fontId="6" fillId="0" borderId="9" xfId="3" applyNumberFormat="1" applyFont="1" applyBorder="1" applyAlignment="1">
      <alignment horizontal="center"/>
    </xf>
    <xf numFmtId="3" fontId="7" fillId="0" borderId="13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2" fontId="6" fillId="4" borderId="0" xfId="0" applyNumberFormat="1" applyFont="1" applyFill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Continuous"/>
    </xf>
    <xf numFmtId="0" fontId="6" fillId="0" borderId="16" xfId="0" applyFont="1" applyBorder="1" applyAlignment="1">
      <alignment horizontal="center"/>
    </xf>
    <xf numFmtId="4" fontId="6" fillId="0" borderId="16" xfId="0" applyNumberFormat="1" applyFont="1" applyBorder="1" applyAlignment="1">
      <alignment horizontal="centerContinuous" wrapText="1"/>
    </xf>
    <xf numFmtId="3" fontId="6" fillId="0" borderId="15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Continuous"/>
    </xf>
    <xf numFmtId="0" fontId="6" fillId="0" borderId="17" xfId="0" applyFont="1" applyBorder="1" applyAlignment="1">
      <alignment horizontal="center"/>
    </xf>
    <xf numFmtId="0" fontId="6" fillId="0" borderId="6" xfId="0" quotePrefix="1" applyFont="1" applyBorder="1" applyAlignment="1">
      <alignment horizontal="center"/>
    </xf>
    <xf numFmtId="4" fontId="6" fillId="0" borderId="17" xfId="0" applyNumberFormat="1" applyFont="1" applyBorder="1" applyAlignment="1">
      <alignment horizontal="centerContinuous"/>
    </xf>
    <xf numFmtId="3" fontId="6" fillId="0" borderId="0" xfId="0" applyNumberFormat="1" applyFont="1" applyAlignment="1">
      <alignment horizontal="centerContinuous"/>
    </xf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6" fillId="0" borderId="19" xfId="0" applyNumberFormat="1" applyFont="1" applyBorder="1" applyAlignment="1">
      <alignment horizontal="centerContinuous"/>
    </xf>
    <xf numFmtId="3" fontId="6" fillId="0" borderId="21" xfId="0" applyNumberFormat="1" applyFont="1" applyBorder="1" applyAlignment="1">
      <alignment horizontal="center"/>
    </xf>
    <xf numFmtId="0" fontId="4" fillId="0" borderId="22" xfId="0" applyFont="1" applyBorder="1"/>
    <xf numFmtId="4" fontId="4" fillId="0" borderId="22" xfId="0" applyNumberFormat="1" applyFont="1" applyBorder="1"/>
    <xf numFmtId="3" fontId="4" fillId="0" borderId="22" xfId="0" applyNumberFormat="1" applyFont="1" applyBorder="1"/>
    <xf numFmtId="0" fontId="4" fillId="0" borderId="22" xfId="0" applyFont="1" applyBorder="1" applyAlignment="1">
      <alignment horizontal="center"/>
    </xf>
    <xf numFmtId="0" fontId="4" fillId="0" borderId="19" xfId="0" applyFont="1" applyBorder="1"/>
    <xf numFmtId="2" fontId="18" fillId="0" borderId="0" xfId="3" applyNumberFormat="1" applyFont="1" applyAlignment="1">
      <alignment horizontal="left"/>
    </xf>
    <xf numFmtId="2" fontId="10" fillId="0" borderId="0" xfId="3" applyNumberFormat="1" applyFont="1"/>
    <xf numFmtId="1" fontId="10" fillId="0" borderId="26" xfId="3" applyNumberFormat="1" applyFont="1" applyBorder="1" applyAlignment="1">
      <alignment horizontal="center"/>
    </xf>
    <xf numFmtId="4" fontId="6" fillId="0" borderId="26" xfId="3" applyNumberFormat="1" applyFont="1" applyBorder="1"/>
    <xf numFmtId="2" fontId="10" fillId="0" borderId="26" xfId="3" applyNumberFormat="1" applyFont="1" applyBorder="1" applyAlignment="1">
      <alignment horizontal="left"/>
    </xf>
    <xf numFmtId="0" fontId="6" fillId="0" borderId="26" xfId="0" applyFont="1" applyBorder="1"/>
    <xf numFmtId="4" fontId="6" fillId="0" borderId="27" xfId="3" applyNumberFormat="1" applyFont="1" applyBorder="1"/>
    <xf numFmtId="0" fontId="6" fillId="0" borderId="27" xfId="0" applyFont="1" applyBorder="1"/>
    <xf numFmtId="2" fontId="4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3" applyNumberFormat="1" applyFont="1" applyAlignment="1">
      <alignment horizontal="center"/>
    </xf>
    <xf numFmtId="1" fontId="7" fillId="3" borderId="2" xfId="0" applyNumberFormat="1" applyFont="1" applyFill="1" applyBorder="1" applyProtection="1">
      <protection locked="0"/>
    </xf>
    <xf numFmtId="1" fontId="7" fillId="3" borderId="3" xfId="0" applyNumberFormat="1" applyFont="1" applyFill="1" applyBorder="1" applyProtection="1">
      <protection locked="0"/>
    </xf>
    <xf numFmtId="2" fontId="7" fillId="3" borderId="3" xfId="0" applyNumberFormat="1" applyFont="1" applyFill="1" applyBorder="1" applyProtection="1">
      <protection locked="0"/>
    </xf>
    <xf numFmtId="2" fontId="7" fillId="3" borderId="2" xfId="0" applyNumberFormat="1" applyFont="1" applyFill="1" applyBorder="1" applyProtection="1">
      <protection locked="0"/>
    </xf>
    <xf numFmtId="0" fontId="6" fillId="4" borderId="0" xfId="0" applyFont="1" applyFill="1"/>
    <xf numFmtId="0" fontId="13" fillId="0" borderId="0" xfId="0" applyFont="1"/>
    <xf numFmtId="164" fontId="7" fillId="0" borderId="0" xfId="0" applyNumberFormat="1" applyFont="1"/>
    <xf numFmtId="9" fontId="6" fillId="0" borderId="28" xfId="2" applyFont="1" applyBorder="1"/>
    <xf numFmtId="0" fontId="18" fillId="0" borderId="0" xfId="0" applyFont="1"/>
    <xf numFmtId="2" fontId="7" fillId="0" borderId="28" xfId="0" applyNumberFormat="1" applyFont="1" applyBorder="1"/>
    <xf numFmtId="0" fontId="7" fillId="0" borderId="28" xfId="0" applyFont="1" applyBorder="1" applyAlignment="1">
      <alignment horizontal="left"/>
    </xf>
    <xf numFmtId="0" fontId="6" fillId="0" borderId="28" xfId="0" applyFont="1" applyBorder="1"/>
    <xf numFmtId="0" fontId="0" fillId="0" borderId="28" xfId="0" applyBorder="1"/>
    <xf numFmtId="0" fontId="7" fillId="0" borderId="28" xfId="0" applyFont="1" applyBorder="1"/>
    <xf numFmtId="0" fontId="6" fillId="0" borderId="28" xfId="0" quotePrefix="1" applyFont="1" applyBorder="1" applyAlignment="1">
      <alignment horizontal="left"/>
    </xf>
    <xf numFmtId="0" fontId="19" fillId="0" borderId="28" xfId="0" applyFont="1" applyBorder="1" applyAlignment="1">
      <alignment horizontal="left"/>
    </xf>
    <xf numFmtId="0" fontId="10" fillId="0" borderId="28" xfId="0" applyFont="1" applyBorder="1"/>
    <xf numFmtId="0" fontId="6" fillId="0" borderId="28" xfId="0" applyFont="1" applyBorder="1" applyAlignment="1">
      <alignment horizontal="right"/>
    </xf>
    <xf numFmtId="1" fontId="20" fillId="0" borderId="0" xfId="0" applyNumberFormat="1" applyFont="1" applyAlignment="1">
      <alignment horizontal="center"/>
    </xf>
    <xf numFmtId="4" fontId="7" fillId="0" borderId="0" xfId="0" applyNumberFormat="1" applyFont="1"/>
    <xf numFmtId="2" fontId="6" fillId="3" borderId="0" xfId="0" applyNumberFormat="1" applyFont="1" applyFill="1"/>
    <xf numFmtId="2" fontId="6" fillId="3" borderId="0" xfId="0" applyNumberFormat="1" applyFont="1" applyFill="1" applyAlignment="1">
      <alignment horizontal="right"/>
    </xf>
    <xf numFmtId="9" fontId="7" fillId="0" borderId="0" xfId="2" applyFont="1"/>
    <xf numFmtId="0" fontId="6" fillId="0" borderId="9" xfId="0" quotePrefix="1" applyFont="1" applyBorder="1" applyAlignment="1">
      <alignment horizontal="center"/>
    </xf>
    <xf numFmtId="0" fontId="6" fillId="3" borderId="0" xfId="0" quotePrefix="1" applyFont="1" applyFill="1" applyAlignment="1">
      <alignment horizontal="center"/>
    </xf>
    <xf numFmtId="0" fontId="6" fillId="3" borderId="9" xfId="0" quotePrefix="1" applyFont="1" applyFill="1" applyBorder="1" applyAlignment="1">
      <alignment horizontal="center"/>
    </xf>
    <xf numFmtId="0" fontId="0" fillId="0" borderId="0" xfId="0" applyAlignment="1">
      <alignment horizontal="left"/>
    </xf>
    <xf numFmtId="3" fontId="6" fillId="0" borderId="0" xfId="0" quotePrefix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2" fontId="0" fillId="3" borderId="0" xfId="0" applyNumberFormat="1" applyFill="1" applyAlignment="1">
      <alignment horizontal="center"/>
    </xf>
    <xf numFmtId="3" fontId="6" fillId="0" borderId="9" xfId="0" quotePrefix="1" applyNumberFormat="1" applyFon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2" fontId="7" fillId="0" borderId="13" xfId="0" applyNumberFormat="1" applyFont="1" applyBorder="1"/>
    <xf numFmtId="0" fontId="7" fillId="0" borderId="13" xfId="0" applyFont="1" applyBorder="1" applyAlignment="1">
      <alignment horizontal="center"/>
    </xf>
    <xf numFmtId="164" fontId="6" fillId="0" borderId="0" xfId="0" applyNumberFormat="1" applyFont="1"/>
    <xf numFmtId="43" fontId="6" fillId="0" borderId="0" xfId="1" applyFont="1" applyAlignment="1">
      <alignment horizontal="right"/>
    </xf>
    <xf numFmtId="0" fontId="0" fillId="0" borderId="0" xfId="0" quotePrefix="1" applyAlignment="1">
      <alignment horizontal="left"/>
    </xf>
    <xf numFmtId="2" fontId="13" fillId="0" borderId="0" xfId="0" applyNumberFormat="1" applyFont="1" applyAlignment="1">
      <alignment horizontal="left"/>
    </xf>
    <xf numFmtId="2" fontId="7" fillId="0" borderId="0" xfId="0" quotePrefix="1" applyNumberFormat="1" applyFont="1" applyAlignment="1">
      <alignment horizontal="left" vertical="center"/>
    </xf>
    <xf numFmtId="0" fontId="6" fillId="4" borderId="0" xfId="0" quotePrefix="1" applyFont="1" applyFill="1" applyAlignment="1">
      <alignment horizontal="left"/>
    </xf>
    <xf numFmtId="0" fontId="4" fillId="0" borderId="22" xfId="0" quotePrefix="1" applyFont="1" applyBorder="1" applyAlignment="1">
      <alignment horizontal="left"/>
    </xf>
    <xf numFmtId="2" fontId="4" fillId="0" borderId="22" xfId="0" applyNumberFormat="1" applyFont="1" applyBorder="1"/>
    <xf numFmtId="3" fontId="17" fillId="0" borderId="22" xfId="0" applyNumberFormat="1" applyFont="1" applyBorder="1"/>
    <xf numFmtId="4" fontId="17" fillId="0" borderId="22" xfId="0" applyNumberFormat="1" applyFont="1" applyBorder="1"/>
    <xf numFmtId="1" fontId="4" fillId="0" borderId="22" xfId="2" applyNumberFormat="1" applyFont="1" applyBorder="1"/>
    <xf numFmtId="4" fontId="4" fillId="0" borderId="19" xfId="0" applyNumberFormat="1" applyFont="1" applyBorder="1"/>
    <xf numFmtId="1" fontId="10" fillId="0" borderId="29" xfId="3" applyNumberFormat="1" applyFont="1" applyBorder="1" applyAlignment="1">
      <alignment horizontal="center" vertical="center"/>
    </xf>
    <xf numFmtId="2" fontId="10" fillId="0" borderId="29" xfId="3" applyNumberFormat="1" applyFont="1" applyBorder="1" applyAlignment="1">
      <alignment horizontal="left" vertical="center"/>
    </xf>
    <xf numFmtId="2" fontId="10" fillId="0" borderId="29" xfId="3" applyNumberFormat="1" applyFont="1" applyBorder="1" applyAlignment="1">
      <alignment horizontal="center" vertical="center"/>
    </xf>
    <xf numFmtId="1" fontId="10" fillId="0" borderId="22" xfId="3" applyNumberFormat="1" applyFont="1" applyBorder="1" applyAlignment="1">
      <alignment horizontal="center"/>
    </xf>
    <xf numFmtId="4" fontId="6" fillId="0" borderId="0" xfId="3" applyNumberFormat="1" applyFont="1" applyAlignment="1">
      <alignment horizontal="left"/>
    </xf>
    <xf numFmtId="2" fontId="10" fillId="0" borderId="22" xfId="3" applyNumberFormat="1" applyFont="1" applyBorder="1" applyAlignment="1">
      <alignment horizontal="left"/>
    </xf>
    <xf numFmtId="4" fontId="6" fillId="0" borderId="22" xfId="3" applyNumberFormat="1" applyFont="1" applyBorder="1"/>
    <xf numFmtId="0" fontId="6" fillId="0" borderId="22" xfId="0" applyFont="1" applyBorder="1"/>
    <xf numFmtId="4" fontId="6" fillId="0" borderId="26" xfId="3" applyNumberFormat="1" applyFont="1" applyBorder="1" applyAlignment="1">
      <alignment horizontal="left"/>
    </xf>
    <xf numFmtId="1" fontId="10" fillId="0" borderId="30" xfId="3" applyNumberFormat="1" applyFont="1" applyBorder="1" applyAlignment="1">
      <alignment horizontal="center"/>
    </xf>
    <xf numFmtId="4" fontId="6" fillId="0" borderId="30" xfId="3" applyNumberFormat="1" applyFont="1" applyBorder="1" applyAlignment="1">
      <alignment horizontal="left"/>
    </xf>
    <xf numFmtId="2" fontId="10" fillId="0" borderId="30" xfId="3" applyNumberFormat="1" applyFont="1" applyBorder="1" applyAlignment="1">
      <alignment horizontal="left"/>
    </xf>
    <xf numFmtId="0" fontId="6" fillId="0" borderId="15" xfId="0" applyFont="1" applyBorder="1"/>
    <xf numFmtId="0" fontId="6" fillId="0" borderId="15" xfId="0" applyFont="1" applyBorder="1" applyAlignment="1">
      <alignment horizontal="right"/>
    </xf>
    <xf numFmtId="4" fontId="7" fillId="3" borderId="2" xfId="0" applyNumberFormat="1" applyFont="1" applyFill="1" applyBorder="1" applyProtection="1">
      <protection locked="0"/>
    </xf>
    <xf numFmtId="3" fontId="7" fillId="3" borderId="2" xfId="0" applyNumberFormat="1" applyFont="1" applyFill="1" applyBorder="1" applyProtection="1">
      <protection locked="0"/>
    </xf>
    <xf numFmtId="4" fontId="10" fillId="0" borderId="0" xfId="0" applyNumberFormat="1" applyFont="1" applyAlignment="1">
      <alignment horizontal="left"/>
    </xf>
    <xf numFmtId="4" fontId="10" fillId="0" borderId="0" xfId="0" applyNumberFormat="1" applyFont="1"/>
    <xf numFmtId="4" fontId="22" fillId="0" borderId="0" xfId="0" applyNumberFormat="1" applyFont="1"/>
    <xf numFmtId="4" fontId="10" fillId="0" borderId="0" xfId="0" applyNumberFormat="1" applyFont="1" applyAlignment="1">
      <alignment horizontal="centerContinuous"/>
    </xf>
    <xf numFmtId="4" fontId="22" fillId="0" borderId="0" xfId="0" applyNumberFormat="1" applyFont="1" applyAlignment="1">
      <alignment horizontal="centerContinuous"/>
    </xf>
    <xf numFmtId="3" fontId="18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left"/>
    </xf>
    <xf numFmtId="4" fontId="13" fillId="0" borderId="0" xfId="0" applyNumberFormat="1" applyFont="1"/>
    <xf numFmtId="4" fontId="10" fillId="0" borderId="0" xfId="0" applyNumberFormat="1" applyFont="1" applyAlignment="1">
      <alignment horizontal="right"/>
    </xf>
    <xf numFmtId="4" fontId="16" fillId="0" borderId="0" xfId="0" quotePrefix="1" applyNumberFormat="1" applyFont="1"/>
    <xf numFmtId="4" fontId="6" fillId="3" borderId="0" xfId="0" applyNumberFormat="1" applyFont="1" applyFill="1"/>
    <xf numFmtId="4" fontId="15" fillId="0" borderId="0" xfId="0" applyNumberFormat="1" applyFont="1"/>
    <xf numFmtId="4" fontId="0" fillId="0" borderId="0" xfId="0" applyNumberFormat="1"/>
    <xf numFmtId="3" fontId="7" fillId="0" borderId="0" xfId="0" applyNumberFormat="1" applyFont="1" applyAlignment="1">
      <alignment horizontal="left"/>
    </xf>
    <xf numFmtId="4" fontId="6" fillId="0" borderId="19" xfId="0" applyNumberFormat="1" applyFont="1" applyBorder="1"/>
    <xf numFmtId="0" fontId="4" fillId="0" borderId="22" xfId="0" quotePrefix="1" applyFont="1" applyBorder="1" applyAlignment="1">
      <alignment horizontal="left" vertical="center"/>
    </xf>
    <xf numFmtId="0" fontId="4" fillId="0" borderId="22" xfId="0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/>
    </xf>
    <xf numFmtId="4" fontId="4" fillId="0" borderId="0" xfId="1" applyNumberFormat="1" applyFont="1"/>
    <xf numFmtId="4" fontId="6" fillId="0" borderId="19" xfId="0" applyNumberFormat="1" applyFont="1" applyBorder="1" applyAlignment="1">
      <alignment horizontal="center"/>
    </xf>
    <xf numFmtId="4" fontId="6" fillId="0" borderId="22" xfId="3" applyNumberFormat="1" applyFont="1" applyBorder="1" applyAlignment="1">
      <alignment horizontal="left"/>
    </xf>
    <xf numFmtId="1" fontId="10" fillId="0" borderId="27" xfId="3" applyNumberFormat="1" applyFont="1" applyBorder="1" applyAlignment="1">
      <alignment horizontal="center"/>
    </xf>
    <xf numFmtId="2" fontId="10" fillId="0" borderId="27" xfId="3" applyNumberFormat="1" applyFont="1" applyBorder="1" applyAlignment="1">
      <alignment horizontal="left"/>
    </xf>
    <xf numFmtId="0" fontId="3" fillId="0" borderId="0" xfId="0" applyFont="1"/>
    <xf numFmtId="4" fontId="7" fillId="0" borderId="0" xfId="0" applyNumberFormat="1" applyFont="1" applyAlignment="1">
      <alignment vertical="center"/>
    </xf>
    <xf numFmtId="4" fontId="26" fillId="0" borderId="0" xfId="0" applyNumberFormat="1" applyFont="1"/>
    <xf numFmtId="2" fontId="7" fillId="0" borderId="0" xfId="0" applyNumberFormat="1" applyFont="1"/>
    <xf numFmtId="2" fontId="7" fillId="2" borderId="28" xfId="0" applyNumberFormat="1" applyFont="1" applyFill="1" applyBorder="1"/>
    <xf numFmtId="0" fontId="28" fillId="0" borderId="0" xfId="0" applyFont="1"/>
    <xf numFmtId="0" fontId="28" fillId="0" borderId="0" xfId="0" applyFont="1" applyAlignment="1">
      <alignment horizontal="left" indent="1"/>
    </xf>
    <xf numFmtId="0" fontId="28" fillId="0" borderId="0" xfId="0" quotePrefix="1" applyFont="1" applyAlignment="1">
      <alignment horizontal="left" indent="1"/>
    </xf>
    <xf numFmtId="4" fontId="30" fillId="0" borderId="0" xfId="0" applyNumberFormat="1" applyFont="1" applyAlignment="1">
      <alignment horizontal="right"/>
    </xf>
    <xf numFmtId="4" fontId="30" fillId="0" borderId="0" xfId="0" applyNumberFormat="1" applyFont="1"/>
    <xf numFmtId="2" fontId="6" fillId="0" borderId="13" xfId="0" applyNumberFormat="1" applyFont="1" applyBorder="1" applyAlignment="1">
      <alignment vertical="center" wrapText="1"/>
    </xf>
    <xf numFmtId="2" fontId="10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0" fontId="2" fillId="2" borderId="0" xfId="0" applyFont="1" applyFill="1"/>
    <xf numFmtId="0" fontId="26" fillId="0" borderId="0" xfId="0" quotePrefix="1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3" applyNumberFormat="1" applyFont="1" applyAlignment="1">
      <alignment horizontal="center" vertical="center"/>
    </xf>
    <xf numFmtId="2" fontId="3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2" fontId="32" fillId="3" borderId="2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Alignment="1">
      <alignment vertical="center"/>
    </xf>
    <xf numFmtId="1" fontId="32" fillId="3" borderId="2" xfId="0" applyNumberFormat="1" applyFont="1" applyFill="1" applyBorder="1" applyAlignment="1" applyProtection="1">
      <alignment vertical="center"/>
      <protection locked="0"/>
    </xf>
    <xf numFmtId="4" fontId="32" fillId="3" borderId="2" xfId="0" applyNumberFormat="1" applyFont="1" applyFill="1" applyBorder="1" applyAlignment="1" applyProtection="1">
      <alignment vertical="center"/>
      <protection locked="0"/>
    </xf>
    <xf numFmtId="2" fontId="33" fillId="0" borderId="0" xfId="0" quotePrefix="1" applyNumberFormat="1" applyFont="1" applyAlignment="1">
      <alignment horizontal="left" vertical="center"/>
    </xf>
    <xf numFmtId="2" fontId="11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2" fontId="6" fillId="0" borderId="0" xfId="0" applyNumberFormat="1" applyFont="1" applyAlignment="1">
      <alignment horizontal="left" vertical="center"/>
    </xf>
    <xf numFmtId="2" fontId="34" fillId="0" borderId="0" xfId="0" applyNumberFormat="1" applyFont="1" applyAlignment="1">
      <alignment vertical="center"/>
    </xf>
    <xf numFmtId="2" fontId="6" fillId="0" borderId="0" xfId="0" applyNumberFormat="1" applyFont="1" applyAlignment="1">
      <alignment horizontal="right" vertical="center"/>
    </xf>
    <xf numFmtId="2" fontId="6" fillId="0" borderId="0" xfId="0" quotePrefix="1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43" fontId="7" fillId="0" borderId="0" xfId="1" applyFont="1" applyAlignment="1">
      <alignment vertical="center"/>
    </xf>
    <xf numFmtId="43" fontId="0" fillId="0" borderId="0" xfId="1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1" fontId="32" fillId="0" borderId="0" xfId="0" applyNumberFormat="1" applyFont="1" applyAlignment="1">
      <alignment vertical="center"/>
    </xf>
    <xf numFmtId="2" fontId="32" fillId="0" borderId="0" xfId="0" applyNumberFormat="1" applyFont="1" applyAlignment="1">
      <alignment vertical="center"/>
    </xf>
    <xf numFmtId="1" fontId="34" fillId="0" borderId="0" xfId="0" applyNumberFormat="1" applyFont="1" applyAlignment="1">
      <alignment horizontal="left" vertical="center"/>
    </xf>
    <xf numFmtId="3" fontId="3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centerContinuous" vertical="center"/>
    </xf>
    <xf numFmtId="3" fontId="18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2" fontId="18" fillId="0" borderId="0" xfId="0" applyNumberFormat="1" applyFont="1" applyAlignment="1">
      <alignment vertical="center"/>
    </xf>
    <xf numFmtId="3" fontId="23" fillId="0" borderId="0" xfId="0" applyNumberFormat="1" applyFont="1" applyAlignment="1">
      <alignment horizontal="right"/>
    </xf>
    <xf numFmtId="2" fontId="15" fillId="0" borderId="0" xfId="0" applyNumberFormat="1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0" fontId="35" fillId="0" borderId="0" xfId="0" applyFont="1" applyAlignment="1">
      <alignment vertical="center"/>
    </xf>
    <xf numFmtId="2" fontId="6" fillId="0" borderId="9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vertical="center"/>
    </xf>
    <xf numFmtId="164" fontId="18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center"/>
    </xf>
    <xf numFmtId="2" fontId="6" fillId="0" borderId="0" xfId="0" quotePrefix="1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2" fontId="18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2" fontId="16" fillId="0" borderId="0" xfId="0" quotePrefix="1" applyNumberFormat="1" applyFont="1" applyAlignment="1">
      <alignment horizontal="left" vertical="center"/>
    </xf>
    <xf numFmtId="2" fontId="18" fillId="0" borderId="0" xfId="0" applyNumberFormat="1" applyFont="1" applyAlignment="1">
      <alignment horizontal="right" vertical="center"/>
    </xf>
    <xf numFmtId="2" fontId="36" fillId="0" borderId="0" xfId="0" applyNumberFormat="1" applyFont="1" applyAlignment="1">
      <alignment horizontal="left" vertical="center"/>
    </xf>
    <xf numFmtId="2" fontId="10" fillId="0" borderId="0" xfId="0" quotePrefix="1" applyNumberFormat="1" applyFont="1" applyAlignment="1">
      <alignment horizontal="right" vertical="center"/>
    </xf>
    <xf numFmtId="0" fontId="10" fillId="0" borderId="0" xfId="0" quotePrefix="1" applyFont="1" applyAlignment="1">
      <alignment horizontal="right" vertical="center"/>
    </xf>
    <xf numFmtId="3" fontId="32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2" fontId="6" fillId="0" borderId="5" xfId="0" applyNumberFormat="1" applyFont="1" applyBorder="1" applyAlignment="1">
      <alignment horizontal="center" vertical="center"/>
    </xf>
    <xf numFmtId="1" fontId="6" fillId="3" borderId="5" xfId="0" applyNumberFormat="1" applyFont="1" applyFill="1" applyBorder="1" applyAlignment="1">
      <alignment horizontal="center" vertical="center"/>
    </xf>
    <xf numFmtId="1" fontId="6" fillId="3" borderId="0" xfId="0" applyNumberFormat="1" applyFont="1" applyFill="1" applyAlignment="1">
      <alignment horizontal="center" vertical="center"/>
    </xf>
    <xf numFmtId="0" fontId="6" fillId="0" borderId="9" xfId="0" applyFont="1" applyBorder="1" applyAlignment="1">
      <alignment vertical="center"/>
    </xf>
    <xf numFmtId="1" fontId="6" fillId="3" borderId="9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1" fontId="6" fillId="0" borderId="0" xfId="3" applyNumberFormat="1" applyFont="1" applyAlignment="1">
      <alignment horizontal="center"/>
    </xf>
    <xf numFmtId="2" fontId="6" fillId="3" borderId="0" xfId="3" applyNumberFormat="1" applyFont="1" applyFill="1" applyAlignment="1">
      <alignment horizontal="center"/>
    </xf>
    <xf numFmtId="43" fontId="6" fillId="0" borderId="0" xfId="1" applyFont="1" applyAlignment="1">
      <alignment horizontal="center"/>
    </xf>
    <xf numFmtId="3" fontId="6" fillId="0" borderId="0" xfId="0" applyNumberFormat="1" applyFont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6" fillId="0" borderId="13" xfId="0" applyFont="1" applyBorder="1" applyAlignment="1">
      <alignment vertical="center"/>
    </xf>
    <xf numFmtId="2" fontId="6" fillId="0" borderId="13" xfId="0" applyNumberFormat="1" applyFont="1" applyBorder="1" applyAlignment="1">
      <alignment vertical="center"/>
    </xf>
    <xf numFmtId="3" fontId="32" fillId="0" borderId="13" xfId="0" applyNumberFormat="1" applyFont="1" applyBorder="1" applyAlignment="1">
      <alignment horizontal="center" vertical="center"/>
    </xf>
    <xf numFmtId="3" fontId="18" fillId="0" borderId="0" xfId="0" applyNumberFormat="1" applyFont="1"/>
    <xf numFmtId="43" fontId="37" fillId="4" borderId="0" xfId="1" quotePrefix="1" applyFont="1" applyFill="1" applyAlignment="1">
      <alignment horizontal="right" vertical="center"/>
    </xf>
    <xf numFmtId="43" fontId="37" fillId="4" borderId="0" xfId="1" applyFont="1" applyFill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Continuous" vertical="center"/>
    </xf>
    <xf numFmtId="0" fontId="6" fillId="0" borderId="16" xfId="0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Continuous" vertical="center" wrapText="1"/>
    </xf>
    <xf numFmtId="3" fontId="6" fillId="0" borderId="1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6" fillId="0" borderId="17" xfId="0" applyFont="1" applyBorder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Continuous" vertical="center"/>
    </xf>
    <xf numFmtId="3" fontId="6" fillId="0" borderId="0" xfId="0" applyNumberFormat="1" applyFont="1" applyAlignment="1">
      <alignment horizontal="centerContinuous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Continuous" vertical="center"/>
    </xf>
    <xf numFmtId="3" fontId="6" fillId="0" borderId="21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38" fillId="0" borderId="29" xfId="0" quotePrefix="1" applyFont="1" applyBorder="1" applyAlignment="1">
      <alignment horizontal="left" vertical="center"/>
    </xf>
    <xf numFmtId="0" fontId="38" fillId="0" borderId="29" xfId="0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horizontal="center" vertical="center"/>
    </xf>
    <xf numFmtId="3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38" fontId="4" fillId="0" borderId="22" xfId="1" applyNumberFormat="1" applyFont="1" applyBorder="1" applyAlignment="1">
      <alignment vertical="center"/>
    </xf>
    <xf numFmtId="0" fontId="39" fillId="0" borderId="22" xfId="0" applyFont="1" applyBorder="1" applyAlignment="1">
      <alignment horizontal="center" vertical="center"/>
    </xf>
    <xf numFmtId="38" fontId="39" fillId="0" borderId="22" xfId="1" applyNumberFormat="1" applyFont="1" applyBorder="1" applyAlignment="1">
      <alignment vertical="center"/>
    </xf>
    <xf numFmtId="43" fontId="39" fillId="0" borderId="22" xfId="1" applyFont="1" applyBorder="1" applyAlignment="1">
      <alignment vertical="center"/>
    </xf>
    <xf numFmtId="43" fontId="4" fillId="0" borderId="22" xfId="1" applyFont="1" applyBorder="1" applyAlignment="1">
      <alignment vertical="center"/>
    </xf>
    <xf numFmtId="0" fontId="39" fillId="0" borderId="22" xfId="0" quotePrefix="1" applyFont="1" applyBorder="1" applyAlignment="1">
      <alignment horizontal="left" vertical="center"/>
    </xf>
    <xf numFmtId="0" fontId="38" fillId="0" borderId="22" xfId="0" quotePrefix="1" applyFont="1" applyBorder="1" applyAlignment="1">
      <alignment horizontal="left" vertical="center"/>
    </xf>
    <xf numFmtId="1" fontId="4" fillId="0" borderId="22" xfId="2" applyNumberFormat="1" applyFont="1" applyBorder="1" applyAlignment="1">
      <alignment vertical="center"/>
    </xf>
    <xf numFmtId="0" fontId="38" fillId="0" borderId="29" xfId="0" applyFont="1" applyBorder="1" applyAlignment="1">
      <alignment horizontal="center" vertical="center"/>
    </xf>
    <xf numFmtId="38" fontId="38" fillId="0" borderId="29" xfId="1" applyNumberFormat="1" applyFont="1" applyBorder="1" applyAlignment="1">
      <alignment vertical="center"/>
    </xf>
    <xf numFmtId="43" fontId="38" fillId="0" borderId="29" xfId="1" applyFont="1" applyBorder="1" applyAlignment="1">
      <alignment vertical="center"/>
    </xf>
    <xf numFmtId="3" fontId="38" fillId="0" borderId="29" xfId="1" applyNumberFormat="1" applyFont="1" applyBorder="1" applyAlignment="1">
      <alignment vertical="center"/>
    </xf>
    <xf numFmtId="43" fontId="17" fillId="0" borderId="22" xfId="1" applyFont="1" applyBorder="1" applyAlignment="1">
      <alignment vertical="center"/>
    </xf>
    <xf numFmtId="38" fontId="17" fillId="0" borderId="22" xfId="1" applyNumberFormat="1" applyFont="1" applyBorder="1" applyAlignment="1">
      <alignment vertical="center"/>
    </xf>
    <xf numFmtId="40" fontId="17" fillId="0" borderId="22" xfId="1" applyNumberFormat="1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40" fontId="4" fillId="0" borderId="22" xfId="1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19" xfId="1" applyNumberFormat="1" applyFont="1" applyBorder="1" applyAlignment="1">
      <alignment vertical="center"/>
    </xf>
    <xf numFmtId="43" fontId="4" fillId="0" borderId="19" xfId="1" applyFont="1" applyBorder="1" applyAlignment="1">
      <alignment vertical="center"/>
    </xf>
    <xf numFmtId="3" fontId="38" fillId="0" borderId="0" xfId="1" applyNumberFormat="1" applyFont="1"/>
    <xf numFmtId="4" fontId="6" fillId="0" borderId="27" xfId="3" applyNumberFormat="1" applyFont="1" applyBorder="1" applyAlignment="1">
      <alignment horizontal="left"/>
    </xf>
    <xf numFmtId="0" fontId="25" fillId="2" borderId="0" xfId="0" applyFont="1" applyFill="1" applyAlignment="1">
      <alignment vertical="center"/>
    </xf>
    <xf numFmtId="4" fontId="6" fillId="2" borderId="0" xfId="0" applyNumberFormat="1" applyFont="1" applyFill="1"/>
    <xf numFmtId="4" fontId="26" fillId="0" borderId="0" xfId="0" quotePrefix="1" applyNumberFormat="1" applyFont="1"/>
    <xf numFmtId="0" fontId="30" fillId="0" borderId="0" xfId="0" applyFont="1"/>
    <xf numFmtId="165" fontId="30" fillId="0" borderId="0" xfId="0" applyNumberFormat="1" applyFont="1"/>
    <xf numFmtId="43" fontId="30" fillId="0" borderId="0" xfId="0" applyNumberFormat="1" applyFont="1"/>
    <xf numFmtId="0" fontId="41" fillId="2" borderId="0" xfId="0" applyFont="1" applyFill="1"/>
    <xf numFmtId="0" fontId="4" fillId="2" borderId="0" xfId="0" applyFont="1" applyFill="1"/>
    <xf numFmtId="0" fontId="30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26" fillId="0" borderId="0" xfId="0" applyFont="1" applyAlignment="1">
      <alignment horizontal="right"/>
    </xf>
    <xf numFmtId="2" fontId="43" fillId="0" borderId="4" xfId="0" applyNumberFormat="1" applyFont="1" applyBorder="1" applyAlignment="1">
      <alignment wrapText="1"/>
    </xf>
    <xf numFmtId="2" fontId="43" fillId="0" borderId="5" xfId="0" applyNumberFormat="1" applyFont="1" applyBorder="1" applyAlignment="1">
      <alignment wrapText="1"/>
    </xf>
    <xf numFmtId="2" fontId="44" fillId="0" borderId="5" xfId="0" applyNumberFormat="1" applyFont="1" applyBorder="1" applyAlignment="1">
      <alignment vertical="top" wrapText="1"/>
    </xf>
    <xf numFmtId="0" fontId="43" fillId="0" borderId="6" xfId="0" applyFont="1" applyBorder="1" applyAlignment="1">
      <alignment wrapText="1"/>
    </xf>
    <xf numFmtId="2" fontId="44" fillId="0" borderId="4" xfId="0" applyNumberFormat="1" applyFont="1" applyBorder="1" applyAlignment="1">
      <alignment vertical="top" wrapText="1"/>
    </xf>
    <xf numFmtId="14" fontId="43" fillId="0" borderId="7" xfId="0" applyNumberFormat="1" applyFont="1" applyBorder="1" applyAlignment="1">
      <alignment wrapText="1"/>
    </xf>
    <xf numFmtId="0" fontId="43" fillId="0" borderId="0" xfId="0" applyFont="1"/>
    <xf numFmtId="2" fontId="43" fillId="0" borderId="8" xfId="0" applyNumberFormat="1" applyFont="1" applyBorder="1" applyAlignment="1">
      <alignment wrapText="1"/>
    </xf>
    <xf numFmtId="2" fontId="43" fillId="0" borderId="0" xfId="0" applyNumberFormat="1" applyFont="1" applyAlignment="1">
      <alignment wrapText="1"/>
    </xf>
    <xf numFmtId="2" fontId="44" fillId="0" borderId="9" xfId="0" applyNumberFormat="1" applyFont="1" applyBorder="1" applyAlignment="1">
      <alignment vertical="top" wrapText="1"/>
    </xf>
    <xf numFmtId="2" fontId="45" fillId="0" borderId="10" xfId="0" applyNumberFormat="1" applyFont="1" applyBorder="1" applyAlignment="1">
      <alignment vertical="center" wrapText="1"/>
    </xf>
    <xf numFmtId="2" fontId="44" fillId="0" borderId="11" xfId="0" applyNumberFormat="1" applyFont="1" applyBorder="1" applyAlignment="1">
      <alignment vertical="top" wrapText="1"/>
    </xf>
    <xf numFmtId="0" fontId="43" fillId="0" borderId="9" xfId="0" applyFont="1" applyBorder="1" applyAlignment="1">
      <alignment wrapText="1"/>
    </xf>
    <xf numFmtId="2" fontId="43" fillId="0" borderId="6" xfId="0" applyNumberFormat="1" applyFont="1" applyBorder="1" applyAlignment="1">
      <alignment wrapText="1"/>
    </xf>
    <xf numFmtId="0" fontId="46" fillId="0" borderId="12" xfId="0" applyFont="1" applyBorder="1" applyAlignment="1">
      <alignment horizontal="left" vertical="center" wrapText="1"/>
    </xf>
    <xf numFmtId="2" fontId="43" fillId="0" borderId="13" xfId="0" applyNumberFormat="1" applyFont="1" applyBorder="1" applyAlignment="1">
      <alignment vertical="center" wrapText="1"/>
    </xf>
    <xf numFmtId="0" fontId="43" fillId="0" borderId="13" xfId="0" applyFont="1" applyBorder="1" applyAlignment="1">
      <alignment vertical="center" wrapText="1"/>
    </xf>
    <xf numFmtId="2" fontId="43" fillId="0" borderId="1" xfId="0" applyNumberFormat="1" applyFont="1" applyBorder="1" applyAlignment="1">
      <alignment vertical="center" wrapText="1"/>
    </xf>
    <xf numFmtId="2" fontId="46" fillId="0" borderId="13" xfId="0" applyNumberFormat="1" applyFont="1" applyBorder="1" applyAlignment="1">
      <alignment horizontal="left" vertical="center" wrapText="1"/>
    </xf>
    <xf numFmtId="2" fontId="43" fillId="0" borderId="0" xfId="0" applyNumberFormat="1" applyFont="1" applyAlignment="1">
      <alignment horizontal="center"/>
    </xf>
    <xf numFmtId="14" fontId="43" fillId="0" borderId="0" xfId="0" applyNumberFormat="1" applyFont="1" applyAlignment="1">
      <alignment horizontal="center"/>
    </xf>
    <xf numFmtId="2" fontId="47" fillId="0" borderId="0" xfId="0" applyNumberFormat="1" applyFont="1" applyAlignment="1">
      <alignment horizontal="center" vertical="center"/>
    </xf>
    <xf numFmtId="2" fontId="43" fillId="0" borderId="0" xfId="0" applyNumberFormat="1" applyFont="1" applyAlignment="1">
      <alignment horizontal="center" vertical="center"/>
    </xf>
    <xf numFmtId="14" fontId="43" fillId="0" borderId="0" xfId="0" applyNumberFormat="1" applyFont="1" applyAlignment="1">
      <alignment horizontal="center" vertical="center"/>
    </xf>
    <xf numFmtId="0" fontId="46" fillId="0" borderId="0" xfId="0" applyFont="1" applyAlignment="1">
      <alignment horizontal="center"/>
    </xf>
    <xf numFmtId="2" fontId="46" fillId="0" borderId="0" xfId="3" applyNumberFormat="1" applyFont="1" applyAlignment="1">
      <alignment horizontal="center"/>
    </xf>
    <xf numFmtId="0" fontId="47" fillId="0" borderId="0" xfId="0" applyFont="1"/>
    <xf numFmtId="4" fontId="43" fillId="0" borderId="0" xfId="0" applyNumberFormat="1" applyFont="1"/>
    <xf numFmtId="4" fontId="48" fillId="0" borderId="0" xfId="0" applyNumberFormat="1" applyFont="1"/>
    <xf numFmtId="4" fontId="45" fillId="0" borderId="0" xfId="0" applyNumberFormat="1" applyFont="1"/>
    <xf numFmtId="4" fontId="43" fillId="0" borderId="0" xfId="3" applyNumberFormat="1" applyFont="1"/>
    <xf numFmtId="0" fontId="49" fillId="0" borderId="0" xfId="0" applyFont="1" applyAlignment="1">
      <alignment horizontal="left" indent="1"/>
    </xf>
    <xf numFmtId="4" fontId="45" fillId="3" borderId="2" xfId="3" applyNumberFormat="1" applyFont="1" applyFill="1" applyBorder="1" applyProtection="1">
      <protection locked="0"/>
    </xf>
    <xf numFmtId="0" fontId="49" fillId="0" borderId="0" xfId="0" applyFont="1"/>
    <xf numFmtId="0" fontId="51" fillId="0" borderId="0" xfId="0" applyFont="1"/>
    <xf numFmtId="4" fontId="43" fillId="0" borderId="0" xfId="0" applyNumberFormat="1" applyFont="1" applyAlignment="1">
      <alignment horizontal="left"/>
    </xf>
    <xf numFmtId="0" fontId="48" fillId="0" borderId="0" xfId="0" applyFont="1"/>
    <xf numFmtId="4" fontId="52" fillId="0" borderId="0" xfId="0" applyNumberFormat="1" applyFont="1"/>
    <xf numFmtId="0" fontId="53" fillId="0" borderId="0" xfId="0" applyFont="1"/>
    <xf numFmtId="0" fontId="54" fillId="0" borderId="0" xfId="0" applyFont="1"/>
    <xf numFmtId="4" fontId="43" fillId="0" borderId="0" xfId="0" applyNumberFormat="1" applyFont="1" applyAlignment="1">
      <alignment horizontal="center"/>
    </xf>
    <xf numFmtId="4" fontId="55" fillId="0" borderId="0" xfId="0" quotePrefix="1" applyNumberFormat="1" applyFont="1" applyAlignment="1">
      <alignment horizontal="left"/>
    </xf>
    <xf numFmtId="4" fontId="45" fillId="0" borderId="0" xfId="0" applyNumberFormat="1" applyFont="1" applyAlignment="1">
      <alignment horizontal="right"/>
    </xf>
    <xf numFmtId="4" fontId="45" fillId="0" borderId="0" xfId="0" applyNumberFormat="1" applyFont="1" applyAlignment="1">
      <alignment horizontal="left"/>
    </xf>
    <xf numFmtId="4" fontId="43" fillId="0" borderId="0" xfId="0" applyNumberFormat="1" applyFont="1" applyAlignment="1">
      <alignment horizontal="right"/>
    </xf>
    <xf numFmtId="0" fontId="54" fillId="0" borderId="0" xfId="0" applyFont="1" applyAlignment="1">
      <alignment horizontal="right"/>
    </xf>
    <xf numFmtId="0" fontId="57" fillId="0" borderId="0" xfId="0" applyFont="1" applyAlignment="1">
      <alignment horizontal="right"/>
    </xf>
    <xf numFmtId="10" fontId="48" fillId="0" borderId="0" xfId="2" applyNumberFormat="1" applyFont="1" applyAlignment="1">
      <alignment horizontal="center"/>
    </xf>
    <xf numFmtId="4" fontId="45" fillId="0" borderId="0" xfId="2" applyNumberFormat="1" applyFont="1" applyAlignment="1">
      <alignment horizontal="center"/>
    </xf>
    <xf numFmtId="3" fontId="45" fillId="0" borderId="0" xfId="0" applyNumberFormat="1" applyFont="1"/>
    <xf numFmtId="4" fontId="52" fillId="0" borderId="0" xfId="4" applyNumberFormat="1" applyFont="1"/>
    <xf numFmtId="4" fontId="43" fillId="0" borderId="0" xfId="0" quotePrefix="1" applyNumberFormat="1" applyFont="1" applyAlignment="1">
      <alignment horizontal="right"/>
    </xf>
    <xf numFmtId="4" fontId="43" fillId="5" borderId="0" xfId="0" applyNumberFormat="1" applyFont="1" applyFill="1"/>
    <xf numFmtId="4" fontId="54" fillId="0" borderId="0" xfId="0" quotePrefix="1" applyNumberFormat="1" applyFont="1" applyAlignment="1">
      <alignment horizontal="center"/>
    </xf>
    <xf numFmtId="4" fontId="54" fillId="0" borderId="0" xfId="0" applyNumberFormat="1" applyFont="1" applyAlignment="1">
      <alignment horizontal="center"/>
    </xf>
    <xf numFmtId="4" fontId="43" fillId="0" borderId="0" xfId="1" applyNumberFormat="1" applyFont="1" applyAlignment="1">
      <alignment horizontal="right"/>
    </xf>
    <xf numFmtId="4" fontId="45" fillId="0" borderId="0" xfId="0" applyNumberFormat="1" applyFont="1" applyAlignment="1">
      <alignment vertical="center"/>
    </xf>
    <xf numFmtId="4" fontId="58" fillId="0" borderId="0" xfId="0" applyNumberFormat="1" applyFont="1"/>
    <xf numFmtId="4" fontId="43" fillId="4" borderId="0" xfId="0" quotePrefix="1" applyNumberFormat="1" applyFont="1" applyFill="1" applyAlignment="1">
      <alignment horizontal="right"/>
    </xf>
    <xf numFmtId="4" fontId="43" fillId="4" borderId="0" xfId="0" applyNumberFormat="1" applyFont="1" applyFill="1"/>
    <xf numFmtId="4" fontId="43" fillId="0" borderId="14" xfId="0" applyNumberFormat="1" applyFont="1" applyBorder="1" applyAlignment="1">
      <alignment horizontal="center"/>
    </xf>
    <xf numFmtId="4" fontId="43" fillId="0" borderId="15" xfId="0" applyNumberFormat="1" applyFont="1" applyBorder="1" applyAlignment="1">
      <alignment horizontal="centerContinuous"/>
    </xf>
    <xf numFmtId="4" fontId="43" fillId="0" borderId="16" xfId="0" applyNumberFormat="1" applyFont="1" applyBorder="1" applyAlignment="1">
      <alignment horizontal="center"/>
    </xf>
    <xf numFmtId="4" fontId="43" fillId="0" borderId="16" xfId="0" applyNumberFormat="1" applyFont="1" applyBorder="1" applyAlignment="1">
      <alignment horizontal="centerContinuous" wrapText="1"/>
    </xf>
    <xf numFmtId="4" fontId="43" fillId="0" borderId="15" xfId="0" applyNumberFormat="1" applyFont="1" applyBorder="1" applyAlignment="1">
      <alignment horizontal="center"/>
    </xf>
    <xf numFmtId="4" fontId="43" fillId="0" borderId="6" xfId="0" applyNumberFormat="1" applyFont="1" applyBorder="1" applyAlignment="1">
      <alignment horizontal="center"/>
    </xf>
    <xf numFmtId="4" fontId="43" fillId="0" borderId="0" xfId="0" applyNumberFormat="1" applyFont="1" applyAlignment="1">
      <alignment horizontal="centerContinuous"/>
    </xf>
    <xf numFmtId="4" fontId="43" fillId="0" borderId="17" xfId="0" applyNumberFormat="1" applyFont="1" applyBorder="1" applyAlignment="1">
      <alignment horizontal="center"/>
    </xf>
    <xf numFmtId="4" fontId="43" fillId="0" borderId="6" xfId="0" quotePrefix="1" applyNumberFormat="1" applyFont="1" applyBorder="1" applyAlignment="1">
      <alignment horizontal="center"/>
    </xf>
    <xf numFmtId="4" fontId="43" fillId="0" borderId="17" xfId="0" applyNumberFormat="1" applyFont="1" applyBorder="1" applyAlignment="1">
      <alignment horizontal="centerContinuous"/>
    </xf>
    <xf numFmtId="4" fontId="43" fillId="0" borderId="18" xfId="0" applyNumberFormat="1" applyFont="1" applyBorder="1"/>
    <xf numFmtId="4" fontId="43" fillId="0" borderId="19" xfId="0" applyNumberFormat="1" applyFont="1" applyBorder="1"/>
    <xf numFmtId="4" fontId="43" fillId="0" borderId="20" xfId="0" applyNumberFormat="1" applyFont="1" applyBorder="1" applyAlignment="1">
      <alignment horizontal="center"/>
    </xf>
    <xf numFmtId="4" fontId="43" fillId="0" borderId="18" xfId="0" applyNumberFormat="1" applyFont="1" applyBorder="1" applyAlignment="1">
      <alignment horizontal="center"/>
    </xf>
    <xf numFmtId="4" fontId="43" fillId="0" borderId="19" xfId="0" applyNumberFormat="1" applyFont="1" applyBorder="1" applyAlignment="1">
      <alignment horizontal="centerContinuous"/>
    </xf>
    <xf numFmtId="4" fontId="43" fillId="0" borderId="21" xfId="0" applyNumberFormat="1" applyFont="1" applyBorder="1" applyAlignment="1">
      <alignment horizontal="center"/>
    </xf>
    <xf numFmtId="4" fontId="47" fillId="0" borderId="0" xfId="0" applyNumberFormat="1" applyFont="1"/>
    <xf numFmtId="4" fontId="47" fillId="0" borderId="22" xfId="0" applyNumberFormat="1" applyFont="1" applyBorder="1"/>
    <xf numFmtId="3" fontId="47" fillId="0" borderId="22" xfId="0" applyNumberFormat="1" applyFont="1" applyBorder="1"/>
    <xf numFmtId="4" fontId="47" fillId="0" borderId="22" xfId="0" applyNumberFormat="1" applyFont="1" applyBorder="1" applyAlignment="1">
      <alignment horizontal="center"/>
    </xf>
    <xf numFmtId="4" fontId="47" fillId="0" borderId="22" xfId="1" applyNumberFormat="1" applyFont="1" applyBorder="1"/>
    <xf numFmtId="3" fontId="47" fillId="0" borderId="22" xfId="1" applyNumberFormat="1" applyFont="1" applyBorder="1"/>
    <xf numFmtId="4" fontId="47" fillId="0" borderId="19" xfId="0" applyNumberFormat="1" applyFont="1" applyBorder="1"/>
    <xf numFmtId="2" fontId="59" fillId="0" borderId="0" xfId="3" applyNumberFormat="1" applyFont="1" applyAlignment="1">
      <alignment horizontal="left"/>
    </xf>
    <xf numFmtId="2" fontId="58" fillId="0" borderId="0" xfId="3" applyNumberFormat="1" applyFont="1"/>
    <xf numFmtId="1" fontId="58" fillId="0" borderId="26" xfId="3" applyNumberFormat="1" applyFont="1" applyBorder="1" applyAlignment="1">
      <alignment horizontal="center"/>
    </xf>
    <xf numFmtId="4" fontId="43" fillId="0" borderId="0" xfId="3" applyNumberFormat="1" applyFont="1" applyAlignment="1">
      <alignment horizontal="left"/>
    </xf>
    <xf numFmtId="2" fontId="58" fillId="0" borderId="22" xfId="3" applyNumberFormat="1" applyFont="1" applyBorder="1" applyAlignment="1">
      <alignment horizontal="left"/>
    </xf>
    <xf numFmtId="1" fontId="58" fillId="0" borderId="27" xfId="3" applyNumberFormat="1" applyFont="1" applyBorder="1" applyAlignment="1">
      <alignment horizontal="center"/>
    </xf>
    <xf numFmtId="3" fontId="60" fillId="0" borderId="27" xfId="0" applyNumberFormat="1" applyFont="1" applyBorder="1" applyAlignment="1">
      <alignment horizontal="left"/>
    </xf>
    <xf numFmtId="0" fontId="43" fillId="0" borderId="27" xfId="0" applyFont="1" applyBorder="1"/>
    <xf numFmtId="4" fontId="30" fillId="0" borderId="35" xfId="3" applyNumberFormat="1" applyFont="1" applyBorder="1" applyAlignment="1">
      <alignment horizontal="center" wrapText="1"/>
    </xf>
    <xf numFmtId="4" fontId="30" fillId="0" borderId="35" xfId="3" applyNumberFormat="1" applyFont="1" applyBorder="1" applyAlignment="1">
      <alignment horizontal="center"/>
    </xf>
    <xf numFmtId="0" fontId="61" fillId="6" borderId="0" xfId="0" applyFont="1" applyFill="1"/>
    <xf numFmtId="0" fontId="62" fillId="0" borderId="0" xfId="0" applyFont="1"/>
    <xf numFmtId="0" fontId="63" fillId="0" borderId="0" xfId="0" applyFont="1"/>
    <xf numFmtId="0" fontId="61" fillId="7" borderId="0" xfId="0" applyFont="1" applyFill="1"/>
    <xf numFmtId="2" fontId="62" fillId="7" borderId="0" xfId="0" applyNumberFormat="1" applyFont="1" applyFill="1"/>
    <xf numFmtId="2" fontId="64" fillId="0" borderId="0" xfId="3" quotePrefix="1" applyNumberFormat="1" applyFont="1" applyAlignment="1">
      <alignment horizontal="left"/>
    </xf>
    <xf numFmtId="0" fontId="65" fillId="8" borderId="0" xfId="0" applyFont="1" applyFill="1"/>
    <xf numFmtId="0" fontId="65" fillId="0" borderId="0" xfId="0" applyFont="1"/>
    <xf numFmtId="1" fontId="62" fillId="7" borderId="0" xfId="0" applyNumberFormat="1" applyFont="1" applyFill="1"/>
    <xf numFmtId="0" fontId="62" fillId="7" borderId="0" xfId="0" applyFont="1" applyFill="1"/>
    <xf numFmtId="2" fontId="62" fillId="7" borderId="0" xfId="0" applyNumberFormat="1" applyFont="1" applyFill="1" applyAlignment="1">
      <alignment horizontal="center"/>
    </xf>
    <xf numFmtId="3" fontId="62" fillId="7" borderId="0" xfId="0" applyNumberFormat="1" applyFont="1" applyFill="1"/>
    <xf numFmtId="0" fontId="63" fillId="2" borderId="0" xfId="0" applyFont="1" applyFill="1"/>
    <xf numFmtId="164" fontId="1" fillId="7" borderId="0" xfId="0" applyNumberFormat="1" applyFont="1" applyFill="1"/>
    <xf numFmtId="0" fontId="3" fillId="8" borderId="0" xfId="0" applyFont="1" applyFill="1"/>
    <xf numFmtId="2" fontId="1" fillId="7" borderId="0" xfId="0" applyNumberFormat="1" applyFont="1" applyFill="1"/>
    <xf numFmtId="0" fontId="1" fillId="0" borderId="0" xfId="0" applyFont="1"/>
    <xf numFmtId="3" fontId="1" fillId="7" borderId="0" xfId="0" applyNumberFormat="1" applyFont="1" applyFill="1"/>
    <xf numFmtId="2" fontId="67" fillId="0" borderId="0" xfId="0" applyNumberFormat="1" applyFont="1" applyAlignment="1">
      <alignment vertical="center"/>
    </xf>
    <xf numFmtId="0" fontId="67" fillId="0" borderId="0" xfId="0" applyFont="1" applyAlignment="1">
      <alignment vertical="center"/>
    </xf>
    <xf numFmtId="165" fontId="67" fillId="0" borderId="0" xfId="1" applyNumberFormat="1" applyFont="1" applyAlignment="1">
      <alignment vertical="center"/>
    </xf>
    <xf numFmtId="0" fontId="67" fillId="0" borderId="0" xfId="0" applyFont="1" applyAlignment="1">
      <alignment horizontal="left" vertical="center" indent="1"/>
    </xf>
    <xf numFmtId="0" fontId="26" fillId="0" borderId="0" xfId="0" applyFont="1"/>
    <xf numFmtId="0" fontId="26" fillId="0" borderId="0" xfId="0" applyFont="1" applyAlignment="1">
      <alignment horizontal="left"/>
    </xf>
    <xf numFmtId="2" fontId="68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5" fillId="7" borderId="0" xfId="0" applyFont="1" applyFill="1"/>
    <xf numFmtId="1" fontId="6" fillId="7" borderId="0" xfId="3" applyNumberFormat="1" applyFont="1" applyFill="1" applyAlignment="1">
      <alignment horizontal="center"/>
    </xf>
    <xf numFmtId="1" fontId="1" fillId="7" borderId="0" xfId="0" applyNumberFormat="1" applyFont="1" applyFill="1"/>
    <xf numFmtId="0" fontId="67" fillId="0" borderId="0" xfId="0" applyFont="1" applyAlignment="1">
      <alignment horizontal="right"/>
    </xf>
    <xf numFmtId="2" fontId="28" fillId="0" borderId="0" xfId="0" applyNumberFormat="1" applyFont="1" applyAlignment="1">
      <alignment horizontal="right"/>
    </xf>
    <xf numFmtId="0" fontId="67" fillId="0" borderId="0" xfId="0" applyFont="1"/>
    <xf numFmtId="0" fontId="30" fillId="0" borderId="0" xfId="0" applyFont="1" applyAlignment="1">
      <alignment horizontal="left"/>
    </xf>
    <xf numFmtId="4" fontId="26" fillId="0" borderId="0" xfId="0" applyNumberFormat="1" applyFont="1" applyAlignment="1">
      <alignment horizontal="left"/>
    </xf>
    <xf numFmtId="3" fontId="26" fillId="0" borderId="0" xfId="3" applyNumberFormat="1" applyFont="1" applyAlignment="1">
      <alignment horizontal="left"/>
    </xf>
    <xf numFmtId="167" fontId="26" fillId="0" borderId="0" xfId="0" applyNumberFormat="1" applyFont="1" applyAlignment="1">
      <alignment horizontal="left"/>
    </xf>
    <xf numFmtId="167" fontId="26" fillId="0" borderId="0" xfId="3" applyNumberFormat="1" applyFont="1" applyAlignment="1">
      <alignment horizontal="left"/>
    </xf>
    <xf numFmtId="4" fontId="26" fillId="0" borderId="0" xfId="3" applyNumberFormat="1" applyFont="1"/>
    <xf numFmtId="168" fontId="26" fillId="0" borderId="0" xfId="3" applyNumberFormat="1" applyFont="1" applyAlignment="1">
      <alignment horizontal="left"/>
    </xf>
    <xf numFmtId="0" fontId="86" fillId="0" borderId="0" xfId="107"/>
    <xf numFmtId="0" fontId="3" fillId="7" borderId="0" xfId="0" applyFont="1" applyFill="1"/>
    <xf numFmtId="0" fontId="87" fillId="25" borderId="0" xfId="0" applyFont="1" applyFill="1"/>
    <xf numFmtId="4" fontId="6" fillId="0" borderId="0" xfId="0" applyNumberFormat="1" applyFont="1" applyAlignment="1">
      <alignment wrapText="1"/>
    </xf>
    <xf numFmtId="2" fontId="10" fillId="0" borderId="16" xfId="3" applyNumberFormat="1" applyFont="1" applyBorder="1" applyAlignment="1">
      <alignment horizontal="center" vertical="center"/>
    </xf>
    <xf numFmtId="2" fontId="18" fillId="0" borderId="20" xfId="3" applyNumberFormat="1" applyFont="1" applyBorder="1" applyAlignment="1">
      <alignment horizontal="center" vertical="center"/>
    </xf>
    <xf numFmtId="2" fontId="10" fillId="0" borderId="23" xfId="3" applyNumberFormat="1" applyFont="1" applyBorder="1" applyAlignment="1">
      <alignment horizontal="center" vertical="center"/>
    </xf>
    <xf numFmtId="2" fontId="10" fillId="0" borderId="15" xfId="3" applyNumberFormat="1" applyFont="1" applyBorder="1" applyAlignment="1">
      <alignment horizontal="center" vertical="center"/>
    </xf>
    <xf numFmtId="2" fontId="10" fillId="0" borderId="24" xfId="3" applyNumberFormat="1" applyFont="1" applyBorder="1" applyAlignment="1">
      <alignment horizontal="center" vertical="center"/>
    </xf>
    <xf numFmtId="2" fontId="10" fillId="0" borderId="21" xfId="3" applyNumberFormat="1" applyFont="1" applyBorder="1" applyAlignment="1">
      <alignment horizontal="center" vertical="center"/>
    </xf>
    <xf numFmtId="2" fontId="10" fillId="0" borderId="19" xfId="3" applyNumberFormat="1" applyFont="1" applyBorder="1" applyAlignment="1">
      <alignment horizontal="center" vertical="center"/>
    </xf>
    <xf numFmtId="2" fontId="10" fillId="0" borderId="25" xfId="3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left" vertical="center" wrapText="1"/>
    </xf>
    <xf numFmtId="2" fontId="5" fillId="0" borderId="13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1" fontId="6" fillId="0" borderId="13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4" fontId="6" fillId="0" borderId="0" xfId="0" applyNumberFormat="1" applyFont="1" applyAlignment="1">
      <alignment horizontal="left" wrapText="1"/>
    </xf>
    <xf numFmtId="4" fontId="6" fillId="0" borderId="0" xfId="0" applyNumberFormat="1" applyFont="1" applyAlignment="1">
      <alignment horizontal="right"/>
    </xf>
    <xf numFmtId="2" fontId="18" fillId="0" borderId="21" xfId="3" applyNumberFormat="1" applyFont="1" applyBorder="1" applyAlignment="1">
      <alignment horizontal="center" vertical="center"/>
    </xf>
    <xf numFmtId="2" fontId="10" fillId="0" borderId="31" xfId="3" applyNumberFormat="1" applyFont="1" applyBorder="1" applyAlignment="1">
      <alignment horizontal="center" vertical="center"/>
    </xf>
    <xf numFmtId="2" fontId="10" fillId="0" borderId="32" xfId="3" applyNumberFormat="1" applyFont="1" applyBorder="1" applyAlignment="1">
      <alignment horizontal="center" vertical="center"/>
    </xf>
    <xf numFmtId="2" fontId="45" fillId="0" borderId="4" xfId="0" applyNumberFormat="1" applyFont="1" applyBorder="1" applyAlignment="1">
      <alignment horizontal="center" vertical="center" wrapText="1"/>
    </xf>
    <xf numFmtId="2" fontId="45" fillId="0" borderId="5" xfId="0" applyNumberFormat="1" applyFont="1" applyBorder="1" applyAlignment="1">
      <alignment horizontal="center" vertical="center" wrapText="1"/>
    </xf>
    <xf numFmtId="2" fontId="45" fillId="0" borderId="7" xfId="0" applyNumberFormat="1" applyFont="1" applyBorder="1" applyAlignment="1">
      <alignment horizontal="center" vertical="center" wrapText="1"/>
    </xf>
    <xf numFmtId="2" fontId="45" fillId="0" borderId="11" xfId="0" applyNumberFormat="1" applyFont="1" applyBorder="1" applyAlignment="1">
      <alignment horizontal="center" vertical="center" wrapText="1"/>
    </xf>
    <xf numFmtId="2" fontId="45" fillId="0" borderId="9" xfId="0" applyNumberFormat="1" applyFont="1" applyBorder="1" applyAlignment="1">
      <alignment horizontal="center" vertical="center" wrapText="1"/>
    </xf>
    <xf numFmtId="2" fontId="45" fillId="0" borderId="10" xfId="0" applyNumberFormat="1" applyFont="1" applyBorder="1" applyAlignment="1">
      <alignment horizontal="center" vertical="center" wrapText="1"/>
    </xf>
    <xf numFmtId="2" fontId="46" fillId="0" borderId="12" xfId="0" applyNumberFormat="1" applyFont="1" applyBorder="1" applyAlignment="1">
      <alignment horizontal="left" vertical="center" wrapText="1"/>
    </xf>
    <xf numFmtId="2" fontId="46" fillId="0" borderId="13" xfId="0" applyNumberFormat="1" applyFont="1" applyBorder="1" applyAlignment="1">
      <alignment horizontal="left" vertical="center" wrapText="1"/>
    </xf>
    <xf numFmtId="2" fontId="46" fillId="0" borderId="1" xfId="0" applyNumberFormat="1" applyFont="1" applyBorder="1" applyAlignment="1">
      <alignment horizontal="left" vertical="center" wrapText="1"/>
    </xf>
    <xf numFmtId="1" fontId="43" fillId="0" borderId="13" xfId="0" applyNumberFormat="1" applyFont="1" applyBorder="1" applyAlignment="1">
      <alignment horizontal="left" vertical="center" wrapText="1"/>
    </xf>
    <xf numFmtId="1" fontId="43" fillId="0" borderId="1" xfId="0" applyNumberFormat="1" applyFont="1" applyBorder="1" applyAlignment="1">
      <alignment horizontal="left" vertical="center" wrapText="1"/>
    </xf>
    <xf numFmtId="2" fontId="58" fillId="0" borderId="33" xfId="3" applyNumberFormat="1" applyFont="1" applyBorder="1" applyAlignment="1">
      <alignment horizontal="center" vertical="center"/>
    </xf>
    <xf numFmtId="2" fontId="58" fillId="0" borderId="34" xfId="3" applyNumberFormat="1" applyFont="1" applyBorder="1" applyAlignment="1">
      <alignment horizontal="center" vertical="center"/>
    </xf>
    <xf numFmtId="2" fontId="58" fillId="0" borderId="31" xfId="3" applyNumberFormat="1" applyFont="1" applyBorder="1" applyAlignment="1">
      <alignment horizontal="center" vertical="center"/>
    </xf>
    <xf numFmtId="2" fontId="58" fillId="0" borderId="15" xfId="3" applyNumberFormat="1" applyFont="1" applyBorder="1" applyAlignment="1">
      <alignment horizontal="center" vertical="center"/>
    </xf>
    <xf numFmtId="2" fontId="58" fillId="0" borderId="24" xfId="3" applyNumberFormat="1" applyFont="1" applyBorder="1" applyAlignment="1">
      <alignment horizontal="center" vertical="center"/>
    </xf>
    <xf numFmtId="2" fontId="58" fillId="0" borderId="32" xfId="3" applyNumberFormat="1" applyFont="1" applyBorder="1" applyAlignment="1">
      <alignment horizontal="center" vertical="center"/>
    </xf>
    <xf numFmtId="2" fontId="58" fillId="0" borderId="19" xfId="3" applyNumberFormat="1" applyFont="1" applyBorder="1" applyAlignment="1">
      <alignment horizontal="center" vertical="center"/>
    </xf>
    <xf numFmtId="2" fontId="58" fillId="0" borderId="25" xfId="3" applyNumberFormat="1" applyFont="1" applyBorder="1" applyAlignment="1">
      <alignment horizontal="center" vertical="center"/>
    </xf>
    <xf numFmtId="0" fontId="1" fillId="0" borderId="0" xfId="108"/>
    <xf numFmtId="0" fontId="1" fillId="0" borderId="0" xfId="108" applyAlignment="1">
      <alignment horizontal="right"/>
    </xf>
    <xf numFmtId="166" fontId="1" fillId="0" borderId="0" xfId="108" applyNumberFormat="1"/>
    <xf numFmtId="0" fontId="1" fillId="0" borderId="0" xfId="108" applyAlignment="1">
      <alignment horizontal="center"/>
    </xf>
    <xf numFmtId="17" fontId="1" fillId="0" borderId="0" xfId="108" applyNumberFormat="1" applyAlignment="1">
      <alignment horizontal="center"/>
    </xf>
    <xf numFmtId="2" fontId="1" fillId="0" borderId="0" xfId="108" applyNumberFormat="1" applyAlignment="1">
      <alignment horizontal="right"/>
    </xf>
    <xf numFmtId="0" fontId="86" fillId="0" borderId="0" xfId="109"/>
  </cellXfs>
  <cellStyles count="110">
    <cellStyle name="20% - Ênfase1 2" xfId="7" xr:uid="{00000000-0005-0000-0000-000000000000}"/>
    <cellStyle name="20% - Ênfase2 2" xfId="9" xr:uid="{00000000-0005-0000-0000-000001000000}"/>
    <cellStyle name="20% - Ênfase3 2" xfId="10" xr:uid="{00000000-0005-0000-0000-000002000000}"/>
    <cellStyle name="20% - Ênfase4 2" xfId="11" xr:uid="{00000000-0005-0000-0000-000003000000}"/>
    <cellStyle name="20% - Ênfase5 2" xfId="12" xr:uid="{00000000-0005-0000-0000-000004000000}"/>
    <cellStyle name="20% - Ênfase6 2" xfId="13" xr:uid="{00000000-0005-0000-0000-000005000000}"/>
    <cellStyle name="40% - Ênfase1 2" xfId="14" xr:uid="{00000000-0005-0000-0000-000006000000}"/>
    <cellStyle name="40% - Ênfase2 2" xfId="15" xr:uid="{00000000-0005-0000-0000-000007000000}"/>
    <cellStyle name="40% - Ênfase3 2" xfId="16" xr:uid="{00000000-0005-0000-0000-000008000000}"/>
    <cellStyle name="40% - Ênfase4 2" xfId="17" xr:uid="{00000000-0005-0000-0000-000009000000}"/>
    <cellStyle name="40% - Ênfase5 2" xfId="18" xr:uid="{00000000-0005-0000-0000-00000A000000}"/>
    <cellStyle name="40% - Ênfase6 2" xfId="19" xr:uid="{00000000-0005-0000-0000-00000B000000}"/>
    <cellStyle name="60% - Ênfase1 2" xfId="20" xr:uid="{00000000-0005-0000-0000-00000C000000}"/>
    <cellStyle name="60% - Ênfase2 2" xfId="21" xr:uid="{00000000-0005-0000-0000-00000D000000}"/>
    <cellStyle name="60% - Ênfase3 2" xfId="22" xr:uid="{00000000-0005-0000-0000-00000E000000}"/>
    <cellStyle name="60% - Ênfase4 2" xfId="23" xr:uid="{00000000-0005-0000-0000-00000F000000}"/>
    <cellStyle name="60% - Ênfase5 2" xfId="24" xr:uid="{00000000-0005-0000-0000-000010000000}"/>
    <cellStyle name="60% - Ênfase6 2" xfId="25" xr:uid="{00000000-0005-0000-0000-000011000000}"/>
    <cellStyle name="Bom 2" xfId="26" xr:uid="{00000000-0005-0000-0000-000012000000}"/>
    <cellStyle name="Cálculo 2" xfId="27" xr:uid="{00000000-0005-0000-0000-000013000000}"/>
    <cellStyle name="Célula de Verificação 2" xfId="28" xr:uid="{00000000-0005-0000-0000-000014000000}"/>
    <cellStyle name="Célula Vinculada 2" xfId="29" xr:uid="{00000000-0005-0000-0000-000015000000}"/>
    <cellStyle name="Ênfase1 2" xfId="30" xr:uid="{00000000-0005-0000-0000-000016000000}"/>
    <cellStyle name="Ênfase2 2" xfId="31" xr:uid="{00000000-0005-0000-0000-000017000000}"/>
    <cellStyle name="Ênfase3 2" xfId="32" xr:uid="{00000000-0005-0000-0000-000018000000}"/>
    <cellStyle name="Ênfase4 2" xfId="33" xr:uid="{00000000-0005-0000-0000-000019000000}"/>
    <cellStyle name="Ênfase5 2" xfId="34" xr:uid="{00000000-0005-0000-0000-00001A000000}"/>
    <cellStyle name="Ênfase6 2" xfId="35" xr:uid="{00000000-0005-0000-0000-00001B000000}"/>
    <cellStyle name="Entrada 2" xfId="36" xr:uid="{00000000-0005-0000-0000-00001C000000}"/>
    <cellStyle name="Estilo 1" xfId="6" xr:uid="{00000000-0005-0000-0000-00001D000000}"/>
    <cellStyle name="Hiperlink" xfId="107" builtinId="8"/>
    <cellStyle name="Hiperlink 2" xfId="109" xr:uid="{05FA1CC8-39E7-42D8-8886-245A818A4103}"/>
    <cellStyle name="Incorreto 2" xfId="37" xr:uid="{00000000-0005-0000-0000-00001E000000}"/>
    <cellStyle name="Moeda 2" xfId="69" xr:uid="{00000000-0005-0000-0000-00001F000000}"/>
    <cellStyle name="Moeda 2 2" xfId="93" xr:uid="{00000000-0005-0000-0000-000020000000}"/>
    <cellStyle name="Moeda 2 3" xfId="81" xr:uid="{00000000-0005-0000-0000-000021000000}"/>
    <cellStyle name="Moeda 3" xfId="67" xr:uid="{00000000-0005-0000-0000-000022000000}"/>
    <cellStyle name="Moeda 3 2" xfId="91" xr:uid="{00000000-0005-0000-0000-000023000000}"/>
    <cellStyle name="Moeda 3 3" xfId="79" xr:uid="{00000000-0005-0000-0000-000024000000}"/>
    <cellStyle name="Moeda 4" xfId="89" xr:uid="{00000000-0005-0000-0000-000025000000}"/>
    <cellStyle name="Moeda 5" xfId="77" xr:uid="{00000000-0005-0000-0000-000026000000}"/>
    <cellStyle name="Neutra 2" xfId="38" xr:uid="{00000000-0005-0000-0000-00001F000000}"/>
    <cellStyle name="Neutro 2" xfId="56" xr:uid="{00000000-0005-0000-0000-000060000000}"/>
    <cellStyle name="Normal" xfId="0" builtinId="0"/>
    <cellStyle name="Normal 2" xfId="51" xr:uid="{00000000-0005-0000-0000-000021000000}"/>
    <cellStyle name="Normal 2 2" xfId="60" xr:uid="{00000000-0005-0000-0000-000021000000}"/>
    <cellStyle name="Normal 3" xfId="52" xr:uid="{00000000-0005-0000-0000-000022000000}"/>
    <cellStyle name="Normal 3 2" xfId="61" xr:uid="{00000000-0005-0000-0000-000022000000}"/>
    <cellStyle name="Normal 4" xfId="50" xr:uid="{00000000-0005-0000-0000-000023000000}"/>
    <cellStyle name="Normal 4 2" xfId="59" xr:uid="{00000000-0005-0000-0000-000023000000}"/>
    <cellStyle name="Normal 5" xfId="8" xr:uid="{00000000-0005-0000-0000-000024000000}"/>
    <cellStyle name="Normal 5 2" xfId="58" xr:uid="{00000000-0005-0000-0000-000035000000}"/>
    <cellStyle name="Normal 6" xfId="54" xr:uid="{00000000-0005-0000-0000-000061000000}"/>
    <cellStyle name="Normal 9" xfId="108" xr:uid="{87599E37-11D4-4A09-AA44-1BE51A508F20}"/>
    <cellStyle name="Normal_Dim_Arranjo_Derivativo_R4_11mar" xfId="4" xr:uid="{00000000-0005-0000-0000-000001000000}"/>
    <cellStyle name="Normal_VERTEDOR" xfId="3" xr:uid="{00000000-0005-0000-0000-000002000000}"/>
    <cellStyle name="Nota 2" xfId="39" xr:uid="{00000000-0005-0000-0000-000026000000}"/>
    <cellStyle name="Porcentagem" xfId="2" builtinId="5"/>
    <cellStyle name="Porcentagem 2" xfId="49" xr:uid="{00000000-0005-0000-0000-000027000000}"/>
    <cellStyle name="Ruim 2" xfId="55" xr:uid="{00000000-0005-0000-0000-000067000000}"/>
    <cellStyle name="Saída 2" xfId="40" xr:uid="{00000000-0005-0000-0000-000028000000}"/>
    <cellStyle name="Separador de milhares 2" xfId="53" xr:uid="{00000000-0005-0000-0000-000029000000}"/>
    <cellStyle name="Separador de milhares 2 2" xfId="96" xr:uid="{00000000-0005-0000-0000-00003C000000}"/>
    <cellStyle name="Separador de milhares 2 3" xfId="84" xr:uid="{00000000-0005-0000-0000-00003D000000}"/>
    <cellStyle name="Separador de milhares 2 4" xfId="102" xr:uid="{00000000-0005-0000-0000-00003E000000}"/>
    <cellStyle name="Separador de milhares 2 5" xfId="72" xr:uid="{00000000-0005-0000-0000-00003B000000}"/>
    <cellStyle name="Texto de Aviso 2" xfId="41" xr:uid="{00000000-0005-0000-0000-00002A000000}"/>
    <cellStyle name="Texto Explicativo 2" xfId="42" xr:uid="{00000000-0005-0000-0000-00002B000000}"/>
    <cellStyle name="Título 1 2" xfId="44" xr:uid="{00000000-0005-0000-0000-00002C000000}"/>
    <cellStyle name="Título 2 2" xfId="45" xr:uid="{00000000-0005-0000-0000-00002D000000}"/>
    <cellStyle name="Título 3 2" xfId="46" xr:uid="{00000000-0005-0000-0000-00002E000000}"/>
    <cellStyle name="Título 4 2" xfId="47" xr:uid="{00000000-0005-0000-0000-00002F000000}"/>
    <cellStyle name="Título 5" xfId="43" xr:uid="{00000000-0005-0000-0000-000030000000}"/>
    <cellStyle name="Total 2" xfId="48" xr:uid="{00000000-0005-0000-0000-000031000000}"/>
    <cellStyle name="Vírgula" xfId="1" builtinId="3"/>
    <cellStyle name="Vírgula 10" xfId="100" xr:uid="{00000000-0005-0000-0000-000047000000}"/>
    <cellStyle name="Vírgula 11" xfId="65" xr:uid="{00000000-0005-0000-0000-000079000000}"/>
    <cellStyle name="Vírgula 2" xfId="5" xr:uid="{00000000-0005-0000-0000-000030000000}"/>
    <cellStyle name="Vírgula 2 2" xfId="62" xr:uid="{00000000-0005-0000-0000-000039000000}"/>
    <cellStyle name="Vírgula 2 2 2" xfId="98" xr:uid="{00000000-0005-0000-0000-00004A000000}"/>
    <cellStyle name="Vírgula 2 2 3" xfId="86" xr:uid="{00000000-0005-0000-0000-00004B000000}"/>
    <cellStyle name="Vírgula 2 2 4" xfId="104" xr:uid="{00000000-0005-0000-0000-00004C000000}"/>
    <cellStyle name="Vírgula 2 2 5" xfId="74" xr:uid="{00000000-0005-0000-0000-000049000000}"/>
    <cellStyle name="Vírgula 2 3" xfId="95" xr:uid="{00000000-0005-0000-0000-00004D000000}"/>
    <cellStyle name="Vírgula 2 4" xfId="83" xr:uid="{00000000-0005-0000-0000-00004E000000}"/>
    <cellStyle name="Vírgula 2 5" xfId="101" xr:uid="{00000000-0005-0000-0000-00004F000000}"/>
    <cellStyle name="Vírgula 2 6" xfId="71" xr:uid="{00000000-0005-0000-0000-000048000000}"/>
    <cellStyle name="Vírgula 3" xfId="57" xr:uid="{00000000-0005-0000-0000-000068000000}"/>
    <cellStyle name="Vírgula 3 2" xfId="97" xr:uid="{00000000-0005-0000-0000-000051000000}"/>
    <cellStyle name="Vírgula 3 3" xfId="85" xr:uid="{00000000-0005-0000-0000-000052000000}"/>
    <cellStyle name="Vírgula 3 4" xfId="103" xr:uid="{00000000-0005-0000-0000-000053000000}"/>
    <cellStyle name="Vírgula 3 5" xfId="73" xr:uid="{00000000-0005-0000-0000-000050000000}"/>
    <cellStyle name="Vírgula 4" xfId="63" xr:uid="{00000000-0005-0000-0000-000069000000}"/>
    <cellStyle name="Vírgula 4 2" xfId="99" xr:uid="{00000000-0005-0000-0000-000055000000}"/>
    <cellStyle name="Vírgula 4 3" xfId="87" xr:uid="{00000000-0005-0000-0000-000056000000}"/>
    <cellStyle name="Vírgula 4 4" xfId="105" xr:uid="{00000000-0005-0000-0000-000057000000}"/>
    <cellStyle name="Vírgula 4 5" xfId="75" xr:uid="{00000000-0005-0000-0000-000054000000}"/>
    <cellStyle name="Vírgula 5" xfId="64" xr:uid="{00000000-0005-0000-0000-00006C000000}"/>
    <cellStyle name="Vírgula 5 2" xfId="94" xr:uid="{00000000-0005-0000-0000-000059000000}"/>
    <cellStyle name="Vírgula 5 3" xfId="82" xr:uid="{00000000-0005-0000-0000-00005A000000}"/>
    <cellStyle name="Vírgula 5 4" xfId="106" xr:uid="{00000000-0005-0000-0000-00005B000000}"/>
    <cellStyle name="Vírgula 5 5" xfId="70" xr:uid="{00000000-0005-0000-0000-000058000000}"/>
    <cellStyle name="Vírgula 6" xfId="68" xr:uid="{00000000-0005-0000-0000-00005C000000}"/>
    <cellStyle name="Vírgula 6 2" xfId="92" xr:uid="{00000000-0005-0000-0000-00005D000000}"/>
    <cellStyle name="Vírgula 6 3" xfId="80" xr:uid="{00000000-0005-0000-0000-00005E000000}"/>
    <cellStyle name="Vírgula 7" xfId="66" xr:uid="{00000000-0005-0000-0000-00005F000000}"/>
    <cellStyle name="Vírgula 7 2" xfId="90" xr:uid="{00000000-0005-0000-0000-000060000000}"/>
    <cellStyle name="Vírgula 7 3" xfId="78" xr:uid="{00000000-0005-0000-0000-000061000000}"/>
    <cellStyle name="Vírgula 8" xfId="88" xr:uid="{00000000-0005-0000-0000-000062000000}"/>
    <cellStyle name="Vírgula 9" xfId="76" xr:uid="{00000000-0005-0000-0000-000063000000}"/>
  </cellStyles>
  <dxfs count="0"/>
  <tableStyles count="0" defaultTableStyle="TableStyleMedium2" defaultPivotStyle="PivotStyleLight16"/>
  <colors>
    <mruColors>
      <color rgb="FFEBF2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Perfil do conduto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Eixo do conduto</c:v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x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E-47AB-A93F-89B53B8213B5}"/>
            </c:ext>
          </c:extLst>
        </c:ser>
        <c:ser>
          <c:idx val="1"/>
          <c:order val="1"/>
          <c:tx>
            <c:v>L.P.</c:v>
          </c:tx>
          <c:spPr>
            <a:ln w="3175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1E-47AB-A93F-89B53B821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623040"/>
        <c:axId val="117711232"/>
      </c:scatterChart>
      <c:valAx>
        <c:axId val="11762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5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Comprimento (m)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17711232"/>
        <c:crosses val="autoZero"/>
        <c:crossBetween val="midCat"/>
        <c:majorUnit val="20"/>
      </c:valAx>
      <c:valAx>
        <c:axId val="117711232"/>
        <c:scaling>
          <c:orientation val="minMax"/>
          <c:min val="480"/>
        </c:scaling>
        <c:delete val="0"/>
        <c:axPos val="l"/>
        <c:title>
          <c:tx>
            <c:rich>
              <a:bodyPr/>
              <a:lstStyle/>
              <a:p>
                <a:pPr>
                  <a:defRPr sz="5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Elevação (m)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176230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4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Header>&amp;A</c:oddHeader>
      <c:oddFooter>Página &amp;P</c:oddFooter>
    </c:headerFooter>
    <c:pageMargins b="0.98425196899999956" l="0.78740157499999996" r="0.78740157499999996" t="0.98425196899999956" header="0.49212598500000188" footer="0.49212598500000188"/>
    <c:pageSetup paperSize="9" orientation="landscape" horizontalDpi="3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emf"/><Relationship Id="rId3" Type="http://schemas.openxmlformats.org/officeDocument/2006/relationships/image" Target="../media/image28.emf"/><Relationship Id="rId7" Type="http://schemas.openxmlformats.org/officeDocument/2006/relationships/image" Target="../media/image32.jpeg"/><Relationship Id="rId2" Type="http://schemas.openxmlformats.org/officeDocument/2006/relationships/image" Target="../media/image27.emf"/><Relationship Id="rId1" Type="http://schemas.openxmlformats.org/officeDocument/2006/relationships/image" Target="../media/image26.emf"/><Relationship Id="rId6" Type="http://schemas.openxmlformats.org/officeDocument/2006/relationships/image" Target="../media/image31.jpeg"/><Relationship Id="rId5" Type="http://schemas.openxmlformats.org/officeDocument/2006/relationships/image" Target="../media/image30.emf"/><Relationship Id="rId4" Type="http://schemas.openxmlformats.org/officeDocument/2006/relationships/image" Target="../media/image2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6.emf"/><Relationship Id="rId3" Type="http://schemas.openxmlformats.org/officeDocument/2006/relationships/image" Target="../media/image101.emf"/><Relationship Id="rId7" Type="http://schemas.openxmlformats.org/officeDocument/2006/relationships/image" Target="../media/image105.emf"/><Relationship Id="rId12" Type="http://schemas.openxmlformats.org/officeDocument/2006/relationships/image" Target="../media/image108.jpeg"/><Relationship Id="rId2" Type="http://schemas.openxmlformats.org/officeDocument/2006/relationships/image" Target="../media/image100.emf"/><Relationship Id="rId1" Type="http://schemas.openxmlformats.org/officeDocument/2006/relationships/image" Target="../media/image99.png"/><Relationship Id="rId6" Type="http://schemas.openxmlformats.org/officeDocument/2006/relationships/image" Target="../media/image104.emf"/><Relationship Id="rId11" Type="http://schemas.openxmlformats.org/officeDocument/2006/relationships/image" Target="../media/image33.emf"/><Relationship Id="rId5" Type="http://schemas.openxmlformats.org/officeDocument/2006/relationships/image" Target="../media/image103.emf"/><Relationship Id="rId10" Type="http://schemas.openxmlformats.org/officeDocument/2006/relationships/image" Target="../media/image107.jpeg"/><Relationship Id="rId4" Type="http://schemas.openxmlformats.org/officeDocument/2006/relationships/image" Target="../media/image102.emf"/><Relationship Id="rId9" Type="http://schemas.openxmlformats.org/officeDocument/2006/relationships/image" Target="../media/image3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1.jpeg"/><Relationship Id="rId2" Type="http://schemas.openxmlformats.org/officeDocument/2006/relationships/image" Target="../media/image120.emf"/><Relationship Id="rId1" Type="http://schemas.openxmlformats.org/officeDocument/2006/relationships/chart" Target="../charts/chart1.xml"/><Relationship Id="rId6" Type="http://schemas.openxmlformats.org/officeDocument/2006/relationships/image" Target="../media/image122.jpeg"/><Relationship Id="rId5" Type="http://schemas.openxmlformats.org/officeDocument/2006/relationships/image" Target="../media/image33.emf"/><Relationship Id="rId4" Type="http://schemas.openxmlformats.org/officeDocument/2006/relationships/image" Target="../media/image121.jpe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_rels/vmlDrawing2.vml.rels><?xml version="1.0" encoding="UTF-8" standalone="yes"?>
<Relationships xmlns="http://schemas.openxmlformats.org/package/2006/relationships"><Relationship Id="rId26" Type="http://schemas.openxmlformats.org/officeDocument/2006/relationships/image" Target="../media/image59.emf"/><Relationship Id="rId21" Type="http://schemas.openxmlformats.org/officeDocument/2006/relationships/image" Target="../media/image54.emf"/><Relationship Id="rId34" Type="http://schemas.openxmlformats.org/officeDocument/2006/relationships/image" Target="../media/image67.emf"/><Relationship Id="rId42" Type="http://schemas.openxmlformats.org/officeDocument/2006/relationships/image" Target="../media/image75.emf"/><Relationship Id="rId47" Type="http://schemas.openxmlformats.org/officeDocument/2006/relationships/image" Target="../media/image80.emf"/><Relationship Id="rId50" Type="http://schemas.openxmlformats.org/officeDocument/2006/relationships/image" Target="../media/image83.emf"/><Relationship Id="rId55" Type="http://schemas.openxmlformats.org/officeDocument/2006/relationships/image" Target="../media/image88.emf"/><Relationship Id="rId63" Type="http://schemas.openxmlformats.org/officeDocument/2006/relationships/image" Target="../media/image96.emf"/><Relationship Id="rId7" Type="http://schemas.openxmlformats.org/officeDocument/2006/relationships/image" Target="../media/image40.emf"/><Relationship Id="rId2" Type="http://schemas.openxmlformats.org/officeDocument/2006/relationships/image" Target="../media/image35.emf"/><Relationship Id="rId16" Type="http://schemas.openxmlformats.org/officeDocument/2006/relationships/image" Target="../media/image49.emf"/><Relationship Id="rId29" Type="http://schemas.openxmlformats.org/officeDocument/2006/relationships/image" Target="../media/image62.emf"/><Relationship Id="rId11" Type="http://schemas.openxmlformats.org/officeDocument/2006/relationships/image" Target="../media/image44.emf"/><Relationship Id="rId24" Type="http://schemas.openxmlformats.org/officeDocument/2006/relationships/image" Target="../media/image57.emf"/><Relationship Id="rId32" Type="http://schemas.openxmlformats.org/officeDocument/2006/relationships/image" Target="../media/image65.emf"/><Relationship Id="rId37" Type="http://schemas.openxmlformats.org/officeDocument/2006/relationships/image" Target="../media/image70.emf"/><Relationship Id="rId40" Type="http://schemas.openxmlformats.org/officeDocument/2006/relationships/image" Target="../media/image73.emf"/><Relationship Id="rId45" Type="http://schemas.openxmlformats.org/officeDocument/2006/relationships/image" Target="../media/image78.emf"/><Relationship Id="rId53" Type="http://schemas.openxmlformats.org/officeDocument/2006/relationships/image" Target="../media/image86.emf"/><Relationship Id="rId58" Type="http://schemas.openxmlformats.org/officeDocument/2006/relationships/image" Target="../media/image91.emf"/><Relationship Id="rId5" Type="http://schemas.openxmlformats.org/officeDocument/2006/relationships/image" Target="../media/image38.emf"/><Relationship Id="rId61" Type="http://schemas.openxmlformats.org/officeDocument/2006/relationships/image" Target="../media/image94.emf"/><Relationship Id="rId19" Type="http://schemas.openxmlformats.org/officeDocument/2006/relationships/image" Target="../media/image52.emf"/><Relationship Id="rId14" Type="http://schemas.openxmlformats.org/officeDocument/2006/relationships/image" Target="../media/image47.emf"/><Relationship Id="rId22" Type="http://schemas.openxmlformats.org/officeDocument/2006/relationships/image" Target="../media/image55.emf"/><Relationship Id="rId27" Type="http://schemas.openxmlformats.org/officeDocument/2006/relationships/image" Target="../media/image60.emf"/><Relationship Id="rId30" Type="http://schemas.openxmlformats.org/officeDocument/2006/relationships/image" Target="../media/image63.emf"/><Relationship Id="rId35" Type="http://schemas.openxmlformats.org/officeDocument/2006/relationships/image" Target="../media/image68.emf"/><Relationship Id="rId43" Type="http://schemas.openxmlformats.org/officeDocument/2006/relationships/image" Target="../media/image76.emf"/><Relationship Id="rId48" Type="http://schemas.openxmlformats.org/officeDocument/2006/relationships/image" Target="../media/image81.emf"/><Relationship Id="rId56" Type="http://schemas.openxmlformats.org/officeDocument/2006/relationships/image" Target="../media/image89.emf"/><Relationship Id="rId64" Type="http://schemas.openxmlformats.org/officeDocument/2006/relationships/image" Target="../media/image97.emf"/><Relationship Id="rId8" Type="http://schemas.openxmlformats.org/officeDocument/2006/relationships/image" Target="../media/image41.emf"/><Relationship Id="rId51" Type="http://schemas.openxmlformats.org/officeDocument/2006/relationships/image" Target="../media/image84.emf"/><Relationship Id="rId3" Type="http://schemas.openxmlformats.org/officeDocument/2006/relationships/image" Target="../media/image36.emf"/><Relationship Id="rId12" Type="http://schemas.openxmlformats.org/officeDocument/2006/relationships/image" Target="../media/image45.emf"/><Relationship Id="rId17" Type="http://schemas.openxmlformats.org/officeDocument/2006/relationships/image" Target="../media/image50.emf"/><Relationship Id="rId25" Type="http://schemas.openxmlformats.org/officeDocument/2006/relationships/image" Target="../media/image58.emf"/><Relationship Id="rId33" Type="http://schemas.openxmlformats.org/officeDocument/2006/relationships/image" Target="../media/image66.emf"/><Relationship Id="rId38" Type="http://schemas.openxmlformats.org/officeDocument/2006/relationships/image" Target="../media/image71.emf"/><Relationship Id="rId46" Type="http://schemas.openxmlformats.org/officeDocument/2006/relationships/image" Target="../media/image79.emf"/><Relationship Id="rId59" Type="http://schemas.openxmlformats.org/officeDocument/2006/relationships/image" Target="../media/image92.emf"/><Relationship Id="rId20" Type="http://schemas.openxmlformats.org/officeDocument/2006/relationships/image" Target="../media/image53.emf"/><Relationship Id="rId41" Type="http://schemas.openxmlformats.org/officeDocument/2006/relationships/image" Target="../media/image74.emf"/><Relationship Id="rId54" Type="http://schemas.openxmlformats.org/officeDocument/2006/relationships/image" Target="../media/image87.emf"/><Relationship Id="rId62" Type="http://schemas.openxmlformats.org/officeDocument/2006/relationships/image" Target="../media/image95.emf"/><Relationship Id="rId1" Type="http://schemas.openxmlformats.org/officeDocument/2006/relationships/image" Target="../media/image34.emf"/><Relationship Id="rId6" Type="http://schemas.openxmlformats.org/officeDocument/2006/relationships/image" Target="../media/image39.emf"/><Relationship Id="rId15" Type="http://schemas.openxmlformats.org/officeDocument/2006/relationships/image" Target="../media/image48.emf"/><Relationship Id="rId23" Type="http://schemas.openxmlformats.org/officeDocument/2006/relationships/image" Target="../media/image56.emf"/><Relationship Id="rId28" Type="http://schemas.openxmlformats.org/officeDocument/2006/relationships/image" Target="../media/image61.emf"/><Relationship Id="rId36" Type="http://schemas.openxmlformats.org/officeDocument/2006/relationships/image" Target="../media/image69.emf"/><Relationship Id="rId49" Type="http://schemas.openxmlformats.org/officeDocument/2006/relationships/image" Target="../media/image82.emf"/><Relationship Id="rId57" Type="http://schemas.openxmlformats.org/officeDocument/2006/relationships/image" Target="../media/image90.emf"/><Relationship Id="rId10" Type="http://schemas.openxmlformats.org/officeDocument/2006/relationships/image" Target="../media/image43.emf"/><Relationship Id="rId31" Type="http://schemas.openxmlformats.org/officeDocument/2006/relationships/image" Target="../media/image64.emf"/><Relationship Id="rId44" Type="http://schemas.openxmlformats.org/officeDocument/2006/relationships/image" Target="../media/image77.emf"/><Relationship Id="rId52" Type="http://schemas.openxmlformats.org/officeDocument/2006/relationships/image" Target="../media/image85.emf"/><Relationship Id="rId60" Type="http://schemas.openxmlformats.org/officeDocument/2006/relationships/image" Target="../media/image93.emf"/><Relationship Id="rId65" Type="http://schemas.openxmlformats.org/officeDocument/2006/relationships/image" Target="../media/image98.emf"/><Relationship Id="rId4" Type="http://schemas.openxmlformats.org/officeDocument/2006/relationships/image" Target="../media/image37.emf"/><Relationship Id="rId9" Type="http://schemas.openxmlformats.org/officeDocument/2006/relationships/image" Target="../media/image42.emf"/><Relationship Id="rId13" Type="http://schemas.openxmlformats.org/officeDocument/2006/relationships/image" Target="../media/image46.emf"/><Relationship Id="rId18" Type="http://schemas.openxmlformats.org/officeDocument/2006/relationships/image" Target="../media/image51.emf"/><Relationship Id="rId39" Type="http://schemas.openxmlformats.org/officeDocument/2006/relationships/image" Target="../media/image72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116.emf"/><Relationship Id="rId3" Type="http://schemas.openxmlformats.org/officeDocument/2006/relationships/image" Target="../media/image111.emf"/><Relationship Id="rId7" Type="http://schemas.openxmlformats.org/officeDocument/2006/relationships/image" Target="../media/image115.emf"/><Relationship Id="rId2" Type="http://schemas.openxmlformats.org/officeDocument/2006/relationships/image" Target="../media/image110.emf"/><Relationship Id="rId1" Type="http://schemas.openxmlformats.org/officeDocument/2006/relationships/image" Target="../media/image109.emf"/><Relationship Id="rId6" Type="http://schemas.openxmlformats.org/officeDocument/2006/relationships/image" Target="../media/image114.emf"/><Relationship Id="rId11" Type="http://schemas.openxmlformats.org/officeDocument/2006/relationships/image" Target="../media/image119.emf"/><Relationship Id="rId5" Type="http://schemas.openxmlformats.org/officeDocument/2006/relationships/image" Target="../media/image113.emf"/><Relationship Id="rId10" Type="http://schemas.openxmlformats.org/officeDocument/2006/relationships/image" Target="../media/image118.emf"/><Relationship Id="rId4" Type="http://schemas.openxmlformats.org/officeDocument/2006/relationships/image" Target="../media/image112.emf"/><Relationship Id="rId9" Type="http://schemas.openxmlformats.org/officeDocument/2006/relationships/image" Target="../media/image1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163</xdr:row>
      <xdr:rowOff>152400</xdr:rowOff>
    </xdr:from>
    <xdr:to>
      <xdr:col>7</xdr:col>
      <xdr:colOff>276225</xdr:colOff>
      <xdr:row>178</xdr:row>
      <xdr:rowOff>9525</xdr:rowOff>
    </xdr:to>
    <xdr:pic>
      <xdr:nvPicPr>
        <xdr:cNvPr id="26" name="Picture 22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31842075"/>
          <a:ext cx="5248275" cy="271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190500</xdr:colOff>
      <xdr:row>197</xdr:row>
      <xdr:rowOff>161925</xdr:rowOff>
    </xdr:from>
    <xdr:to>
      <xdr:col>7</xdr:col>
      <xdr:colOff>514350</xdr:colOff>
      <xdr:row>212</xdr:row>
      <xdr:rowOff>104775</xdr:rowOff>
    </xdr:to>
    <xdr:pic>
      <xdr:nvPicPr>
        <xdr:cNvPr id="28" name="Picture 22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38738175"/>
          <a:ext cx="5410200" cy="280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428625</xdr:colOff>
      <xdr:row>215</xdr:row>
      <xdr:rowOff>9525</xdr:rowOff>
    </xdr:from>
    <xdr:to>
      <xdr:col>5</xdr:col>
      <xdr:colOff>85725</xdr:colOff>
      <xdr:row>216</xdr:row>
      <xdr:rowOff>38100</xdr:rowOff>
    </xdr:to>
    <xdr:pic>
      <xdr:nvPicPr>
        <xdr:cNvPr id="29" name="Figura 387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42014775"/>
          <a:ext cx="2095500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561975</xdr:colOff>
      <xdr:row>256</xdr:row>
      <xdr:rowOff>95250</xdr:rowOff>
    </xdr:from>
    <xdr:to>
      <xdr:col>8</xdr:col>
      <xdr:colOff>209550</xdr:colOff>
      <xdr:row>272</xdr:row>
      <xdr:rowOff>142875</xdr:rowOff>
    </xdr:to>
    <xdr:pic>
      <xdr:nvPicPr>
        <xdr:cNvPr id="30" name="Picture 23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50682525"/>
          <a:ext cx="5667375" cy="3095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619125</xdr:colOff>
      <xdr:row>231</xdr:row>
      <xdr:rowOff>38100</xdr:rowOff>
    </xdr:from>
    <xdr:to>
      <xdr:col>8</xdr:col>
      <xdr:colOff>209550</xdr:colOff>
      <xdr:row>249</xdr:row>
      <xdr:rowOff>104775</xdr:rowOff>
    </xdr:to>
    <xdr:pic>
      <xdr:nvPicPr>
        <xdr:cNvPr id="31" name="Picture 236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45605700"/>
          <a:ext cx="5610225" cy="3495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32" name="Picture 237" descr="Ministério de Minas e Energia - MME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33" name="Text Box 238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3145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34" name="Picture 239" descr="PCE azul completo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886575" y="123825"/>
          <a:ext cx="14287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35" name="Picture 240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61925"/>
          <a:ext cx="13525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342900</xdr:rowOff>
    </xdr:to>
    <xdr:pic>
      <xdr:nvPicPr>
        <xdr:cNvPr id="36" name="Picture 241" descr="Ministério de Minas e Energia - MME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37" name="Text Box 242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3145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38" name="Picture 243" descr="PCE azul completo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886575" y="123825"/>
          <a:ext cx="14287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266700</xdr:colOff>
      <xdr:row>0</xdr:row>
      <xdr:rowOff>133350</xdr:rowOff>
    </xdr:from>
    <xdr:to>
      <xdr:col>10</xdr:col>
      <xdr:colOff>790575</xdr:colOff>
      <xdr:row>1</xdr:row>
      <xdr:rowOff>400050</xdr:rowOff>
    </xdr:to>
    <xdr:pic>
      <xdr:nvPicPr>
        <xdr:cNvPr id="39" name="Picture 24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33350"/>
          <a:ext cx="13525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638175</xdr:colOff>
          <xdr:row>72</xdr:row>
          <xdr:rowOff>9525</xdr:rowOff>
        </xdr:from>
        <xdr:to>
          <xdr:col>3</xdr:col>
          <xdr:colOff>742950</xdr:colOff>
          <xdr:row>73</xdr:row>
          <xdr:rowOff>19050</xdr:rowOff>
        </xdr:to>
        <xdr:sp macro="" textlink="">
          <xdr:nvSpPr>
            <xdr:cNvPr id="10241" name="Figura 98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79</xdr:row>
          <xdr:rowOff>0</xdr:rowOff>
        </xdr:from>
        <xdr:to>
          <xdr:col>3</xdr:col>
          <xdr:colOff>409575</xdr:colOff>
          <xdr:row>80</xdr:row>
          <xdr:rowOff>9525</xdr:rowOff>
        </xdr:to>
        <xdr:sp macro="" textlink="">
          <xdr:nvSpPr>
            <xdr:cNvPr id="10242" name="Figura 100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1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83</xdr:row>
          <xdr:rowOff>0</xdr:rowOff>
        </xdr:from>
        <xdr:to>
          <xdr:col>3</xdr:col>
          <xdr:colOff>762000</xdr:colOff>
          <xdr:row>84</xdr:row>
          <xdr:rowOff>0</xdr:rowOff>
        </xdr:to>
        <xdr:sp macro="" textlink="">
          <xdr:nvSpPr>
            <xdr:cNvPr id="10243" name="Figura 101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1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87</xdr:row>
          <xdr:rowOff>0</xdr:rowOff>
        </xdr:from>
        <xdr:to>
          <xdr:col>3</xdr:col>
          <xdr:colOff>428625</xdr:colOff>
          <xdr:row>88</xdr:row>
          <xdr:rowOff>9525</xdr:rowOff>
        </xdr:to>
        <xdr:sp macro="" textlink="">
          <xdr:nvSpPr>
            <xdr:cNvPr id="10244" name="Figura 102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1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68</xdr:row>
          <xdr:rowOff>66675</xdr:rowOff>
        </xdr:from>
        <xdr:to>
          <xdr:col>2</xdr:col>
          <xdr:colOff>600075</xdr:colOff>
          <xdr:row>70</xdr:row>
          <xdr:rowOff>66675</xdr:rowOff>
        </xdr:to>
        <xdr:sp macro="" textlink="">
          <xdr:nvSpPr>
            <xdr:cNvPr id="10245" name="Figura 104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1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124</xdr:row>
          <xdr:rowOff>0</xdr:rowOff>
        </xdr:from>
        <xdr:to>
          <xdr:col>4</xdr:col>
          <xdr:colOff>171450</xdr:colOff>
          <xdr:row>125</xdr:row>
          <xdr:rowOff>28575</xdr:rowOff>
        </xdr:to>
        <xdr:sp macro="" textlink="">
          <xdr:nvSpPr>
            <xdr:cNvPr id="10246" name="Figura 121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1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130</xdr:row>
          <xdr:rowOff>0</xdr:rowOff>
        </xdr:from>
        <xdr:to>
          <xdr:col>4</xdr:col>
          <xdr:colOff>228600</xdr:colOff>
          <xdr:row>131</xdr:row>
          <xdr:rowOff>57150</xdr:rowOff>
        </xdr:to>
        <xdr:sp macro="" textlink="">
          <xdr:nvSpPr>
            <xdr:cNvPr id="10247" name="Figura 122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1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132</xdr:row>
          <xdr:rowOff>0</xdr:rowOff>
        </xdr:from>
        <xdr:to>
          <xdr:col>5</xdr:col>
          <xdr:colOff>1771650</xdr:colOff>
          <xdr:row>133</xdr:row>
          <xdr:rowOff>57150</xdr:rowOff>
        </xdr:to>
        <xdr:sp macro="" textlink="">
          <xdr:nvSpPr>
            <xdr:cNvPr id="10248" name="Figura 123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1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135</xdr:row>
          <xdr:rowOff>0</xdr:rowOff>
        </xdr:from>
        <xdr:to>
          <xdr:col>5</xdr:col>
          <xdr:colOff>885825</xdr:colOff>
          <xdr:row>136</xdr:row>
          <xdr:rowOff>95250</xdr:rowOff>
        </xdr:to>
        <xdr:sp macro="" textlink="">
          <xdr:nvSpPr>
            <xdr:cNvPr id="10249" name="Figura 126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1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183</xdr:row>
          <xdr:rowOff>28575</xdr:rowOff>
        </xdr:from>
        <xdr:to>
          <xdr:col>4</xdr:col>
          <xdr:colOff>447675</xdr:colOff>
          <xdr:row>184</xdr:row>
          <xdr:rowOff>171450</xdr:rowOff>
        </xdr:to>
        <xdr:sp macro="" textlink="">
          <xdr:nvSpPr>
            <xdr:cNvPr id="10250" name="Figura 132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1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188</xdr:row>
          <xdr:rowOff>0</xdr:rowOff>
        </xdr:from>
        <xdr:to>
          <xdr:col>4</xdr:col>
          <xdr:colOff>447675</xdr:colOff>
          <xdr:row>189</xdr:row>
          <xdr:rowOff>9525</xdr:rowOff>
        </xdr:to>
        <xdr:sp macro="" textlink="">
          <xdr:nvSpPr>
            <xdr:cNvPr id="10251" name="Figura 133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1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619125</xdr:colOff>
          <xdr:row>250</xdr:row>
          <xdr:rowOff>180975</xdr:rowOff>
        </xdr:from>
        <xdr:to>
          <xdr:col>9</xdr:col>
          <xdr:colOff>276225</xdr:colOff>
          <xdr:row>252</xdr:row>
          <xdr:rowOff>19050</xdr:rowOff>
        </xdr:to>
        <xdr:sp macro="" textlink="">
          <xdr:nvSpPr>
            <xdr:cNvPr id="10252" name="Figura 138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1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251</xdr:row>
          <xdr:rowOff>0</xdr:rowOff>
        </xdr:from>
        <xdr:to>
          <xdr:col>5</xdr:col>
          <xdr:colOff>933450</xdr:colOff>
          <xdr:row>252</xdr:row>
          <xdr:rowOff>38100</xdr:rowOff>
        </xdr:to>
        <xdr:sp macro="" textlink="">
          <xdr:nvSpPr>
            <xdr:cNvPr id="10253" name="Figura 139" hidden="1">
              <a:extLst>
                <a:ext uri="{63B3BB69-23CF-44E3-9099-C40C66FF867C}">
                  <a14:compatExt spid="_x0000_s10253"/>
                </a:ext>
                <a:ext uri="{FF2B5EF4-FFF2-40B4-BE49-F238E27FC236}">
                  <a16:creationId xmlns:a16="http://schemas.microsoft.com/office/drawing/2014/main" id="{00000000-0008-0000-0100-00000D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628650</xdr:colOff>
          <xdr:row>222</xdr:row>
          <xdr:rowOff>9525</xdr:rowOff>
        </xdr:from>
        <xdr:to>
          <xdr:col>5</xdr:col>
          <xdr:colOff>257175</xdr:colOff>
          <xdr:row>223</xdr:row>
          <xdr:rowOff>57150</xdr:rowOff>
        </xdr:to>
        <xdr:sp macro="" textlink="">
          <xdr:nvSpPr>
            <xdr:cNvPr id="10254" name="Figura 143" hidden="1">
              <a:extLst>
                <a:ext uri="{63B3BB69-23CF-44E3-9099-C40C66FF867C}">
                  <a14:compatExt spid="_x0000_s10254"/>
                </a:ext>
                <a:ext uri="{FF2B5EF4-FFF2-40B4-BE49-F238E27FC236}">
                  <a16:creationId xmlns:a16="http://schemas.microsoft.com/office/drawing/2014/main" id="{00000000-0008-0000-0100-00000E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495300</xdr:colOff>
          <xdr:row>275</xdr:row>
          <xdr:rowOff>0</xdr:rowOff>
        </xdr:from>
        <xdr:to>
          <xdr:col>4</xdr:col>
          <xdr:colOff>47625</xdr:colOff>
          <xdr:row>276</xdr:row>
          <xdr:rowOff>19050</xdr:rowOff>
        </xdr:to>
        <xdr:sp macro="" textlink="">
          <xdr:nvSpPr>
            <xdr:cNvPr id="10255" name="Figura 160" hidden="1">
              <a:extLst>
                <a:ext uri="{63B3BB69-23CF-44E3-9099-C40C66FF867C}">
                  <a14:compatExt spid="_x0000_s10255"/>
                </a:ext>
                <a:ext uri="{FF2B5EF4-FFF2-40B4-BE49-F238E27FC236}">
                  <a16:creationId xmlns:a16="http://schemas.microsoft.com/office/drawing/2014/main" id="{00000000-0008-0000-0100-00000F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95</xdr:row>
          <xdr:rowOff>0</xdr:rowOff>
        </xdr:from>
        <xdr:to>
          <xdr:col>3</xdr:col>
          <xdr:colOff>342900</xdr:colOff>
          <xdr:row>96</xdr:row>
          <xdr:rowOff>9525</xdr:rowOff>
        </xdr:to>
        <xdr:sp macro="" textlink="">
          <xdr:nvSpPr>
            <xdr:cNvPr id="10256" name="Figura 174" hidden="1">
              <a:extLst>
                <a:ext uri="{63B3BB69-23CF-44E3-9099-C40C66FF867C}">
                  <a14:compatExt spid="_x0000_s10256"/>
                </a:ext>
                <a:ext uri="{FF2B5EF4-FFF2-40B4-BE49-F238E27FC236}">
                  <a16:creationId xmlns:a16="http://schemas.microsoft.com/office/drawing/2014/main" id="{00000000-0008-0000-0100-000010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98</xdr:row>
          <xdr:rowOff>142875</xdr:rowOff>
        </xdr:from>
        <xdr:to>
          <xdr:col>5</xdr:col>
          <xdr:colOff>133350</xdr:colOff>
          <xdr:row>100</xdr:row>
          <xdr:rowOff>9525</xdr:rowOff>
        </xdr:to>
        <xdr:sp macro="" textlink="">
          <xdr:nvSpPr>
            <xdr:cNvPr id="10257" name="Figura 175" hidden="1">
              <a:extLst>
                <a:ext uri="{63B3BB69-23CF-44E3-9099-C40C66FF867C}">
                  <a14:compatExt spid="_x0000_s10257"/>
                </a:ext>
                <a:ext uri="{FF2B5EF4-FFF2-40B4-BE49-F238E27FC236}">
                  <a16:creationId xmlns:a16="http://schemas.microsoft.com/office/drawing/2014/main" id="{00000000-0008-0000-0100-00001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127</xdr:row>
          <xdr:rowOff>9525</xdr:rowOff>
        </xdr:from>
        <xdr:to>
          <xdr:col>5</xdr:col>
          <xdr:colOff>762000</xdr:colOff>
          <xdr:row>128</xdr:row>
          <xdr:rowOff>66675</xdr:rowOff>
        </xdr:to>
        <xdr:sp macro="" textlink="">
          <xdr:nvSpPr>
            <xdr:cNvPr id="10258" name="Figura 176" hidden="1">
              <a:extLst>
                <a:ext uri="{63B3BB69-23CF-44E3-9099-C40C66FF867C}">
                  <a14:compatExt spid="_x0000_s10258"/>
                </a:ext>
                <a:ext uri="{FF2B5EF4-FFF2-40B4-BE49-F238E27FC236}">
                  <a16:creationId xmlns:a16="http://schemas.microsoft.com/office/drawing/2014/main" id="{00000000-0008-0000-0100-00001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103</xdr:row>
          <xdr:rowOff>19050</xdr:rowOff>
        </xdr:from>
        <xdr:to>
          <xdr:col>3</xdr:col>
          <xdr:colOff>142875</xdr:colOff>
          <xdr:row>104</xdr:row>
          <xdr:rowOff>38100</xdr:rowOff>
        </xdr:to>
        <xdr:sp macro="" textlink="">
          <xdr:nvSpPr>
            <xdr:cNvPr id="10259" name="Figura 179" hidden="1">
              <a:extLst>
                <a:ext uri="{63B3BB69-23CF-44E3-9099-C40C66FF867C}">
                  <a14:compatExt spid="_x0000_s10259"/>
                </a:ext>
                <a:ext uri="{FF2B5EF4-FFF2-40B4-BE49-F238E27FC236}">
                  <a16:creationId xmlns:a16="http://schemas.microsoft.com/office/drawing/2014/main" id="{00000000-0008-0000-0100-00001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186</xdr:row>
          <xdr:rowOff>0</xdr:rowOff>
        </xdr:from>
        <xdr:to>
          <xdr:col>4</xdr:col>
          <xdr:colOff>276225</xdr:colOff>
          <xdr:row>187</xdr:row>
          <xdr:rowOff>19050</xdr:rowOff>
        </xdr:to>
        <xdr:sp macro="" textlink="">
          <xdr:nvSpPr>
            <xdr:cNvPr id="10260" name="Figura 181" hidden="1">
              <a:extLst>
                <a:ext uri="{63B3BB69-23CF-44E3-9099-C40C66FF867C}">
                  <a14:compatExt spid="_x0000_s10260"/>
                </a:ext>
                <a:ext uri="{FF2B5EF4-FFF2-40B4-BE49-F238E27FC236}">
                  <a16:creationId xmlns:a16="http://schemas.microsoft.com/office/drawing/2014/main" id="{00000000-0008-0000-0100-00001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118</xdr:row>
          <xdr:rowOff>9525</xdr:rowOff>
        </xdr:from>
        <xdr:to>
          <xdr:col>5</xdr:col>
          <xdr:colOff>257175</xdr:colOff>
          <xdr:row>119</xdr:row>
          <xdr:rowOff>9525</xdr:rowOff>
        </xdr:to>
        <xdr:sp macro="" textlink="">
          <xdr:nvSpPr>
            <xdr:cNvPr id="10261" name="Figura 182" hidden="1">
              <a:extLst>
                <a:ext uri="{63B3BB69-23CF-44E3-9099-C40C66FF867C}">
                  <a14:compatExt spid="_x0000_s10261"/>
                </a:ext>
                <a:ext uri="{FF2B5EF4-FFF2-40B4-BE49-F238E27FC236}">
                  <a16:creationId xmlns:a16="http://schemas.microsoft.com/office/drawing/2014/main" id="{00000000-0008-0000-0100-00001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27</xdr:row>
          <xdr:rowOff>28575</xdr:rowOff>
        </xdr:from>
        <xdr:to>
          <xdr:col>10</xdr:col>
          <xdr:colOff>323850</xdr:colOff>
          <xdr:row>63</xdr:row>
          <xdr:rowOff>28575</xdr:rowOff>
        </xdr:to>
        <xdr:sp macro="" textlink="">
          <xdr:nvSpPr>
            <xdr:cNvPr id="10262" name="Figura 183" hidden="1">
              <a:extLst>
                <a:ext uri="{63B3BB69-23CF-44E3-9099-C40C66FF867C}">
                  <a14:compatExt spid="_x0000_s10262"/>
                </a:ext>
                <a:ext uri="{FF2B5EF4-FFF2-40B4-BE49-F238E27FC236}">
                  <a16:creationId xmlns:a16="http://schemas.microsoft.com/office/drawing/2014/main" id="{00000000-0008-0000-0100-00001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106</xdr:row>
          <xdr:rowOff>152400</xdr:rowOff>
        </xdr:from>
        <xdr:to>
          <xdr:col>3</xdr:col>
          <xdr:colOff>400050</xdr:colOff>
          <xdr:row>108</xdr:row>
          <xdr:rowOff>104775</xdr:rowOff>
        </xdr:to>
        <xdr:sp macro="" textlink="">
          <xdr:nvSpPr>
            <xdr:cNvPr id="10263" name="Figura 208" hidden="1">
              <a:extLst>
                <a:ext uri="{63B3BB69-23CF-44E3-9099-C40C66FF867C}">
                  <a14:compatExt spid="_x0000_s10263"/>
                </a:ext>
                <a:ext uri="{FF2B5EF4-FFF2-40B4-BE49-F238E27FC236}">
                  <a16:creationId xmlns:a16="http://schemas.microsoft.com/office/drawing/2014/main" id="{00000000-0008-0000-0100-00001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110</xdr:row>
          <xdr:rowOff>9525</xdr:rowOff>
        </xdr:from>
        <xdr:to>
          <xdr:col>5</xdr:col>
          <xdr:colOff>133350</xdr:colOff>
          <xdr:row>111</xdr:row>
          <xdr:rowOff>47625</xdr:rowOff>
        </xdr:to>
        <xdr:sp macro="" textlink="">
          <xdr:nvSpPr>
            <xdr:cNvPr id="10264" name="Figura 209" hidden="1">
              <a:extLst>
                <a:ext uri="{63B3BB69-23CF-44E3-9099-C40C66FF867C}">
                  <a14:compatExt spid="_x0000_s10264"/>
                </a:ext>
                <a:ext uri="{FF2B5EF4-FFF2-40B4-BE49-F238E27FC236}">
                  <a16:creationId xmlns:a16="http://schemas.microsoft.com/office/drawing/2014/main" id="{00000000-0008-0000-0100-00001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181</xdr:row>
          <xdr:rowOff>38100</xdr:rowOff>
        </xdr:from>
        <xdr:to>
          <xdr:col>5</xdr:col>
          <xdr:colOff>28575</xdr:colOff>
          <xdr:row>182</xdr:row>
          <xdr:rowOff>266700</xdr:rowOff>
        </xdr:to>
        <xdr:sp macro="" textlink="">
          <xdr:nvSpPr>
            <xdr:cNvPr id="10265" name="Figura 381" hidden="1">
              <a:extLst>
                <a:ext uri="{63B3BB69-23CF-44E3-9099-C40C66FF867C}">
                  <a14:compatExt spid="_x0000_s10265"/>
                </a:ext>
                <a:ext uri="{FF2B5EF4-FFF2-40B4-BE49-F238E27FC236}">
                  <a16:creationId xmlns:a16="http://schemas.microsoft.com/office/drawing/2014/main" id="{00000000-0008-0000-0100-00001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2209800</xdr:colOff>
      <xdr:row>80</xdr:row>
      <xdr:rowOff>142875</xdr:rowOff>
    </xdr:from>
    <xdr:to>
      <xdr:col>8</xdr:col>
      <xdr:colOff>628650</xdr:colOff>
      <xdr:row>90</xdr:row>
      <xdr:rowOff>85725</xdr:rowOff>
    </xdr:to>
    <xdr:grpSp>
      <xdr:nvGrpSpPr>
        <xdr:cNvPr id="18" name="Agrupar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pSpPr/>
      </xdr:nvGrpSpPr>
      <xdr:grpSpPr>
        <a:xfrm>
          <a:off x="6486525" y="15792450"/>
          <a:ext cx="2466975" cy="1847850"/>
          <a:chOff x="6200775" y="13211175"/>
          <a:chExt cx="2466975" cy="1847850"/>
        </a:xfrm>
      </xdr:grpSpPr>
      <xdr:grpSp>
        <xdr:nvGrpSpPr>
          <xdr:cNvPr id="6" name="Agrupar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GrpSpPr/>
        </xdr:nvGrpSpPr>
        <xdr:grpSpPr>
          <a:xfrm>
            <a:off x="6572250" y="13449300"/>
            <a:ext cx="1752600" cy="1257300"/>
            <a:chOff x="6572250" y="13811250"/>
            <a:chExt cx="1752600" cy="1257300"/>
          </a:xfrm>
        </xdr:grpSpPr>
        <xdr:sp macro="" textlink="">
          <xdr:nvSpPr>
            <xdr:cNvPr id="2" name="Retângulo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/>
          </xdr:nvSpPr>
          <xdr:spPr>
            <a:xfrm>
              <a:off x="6572250" y="13935075"/>
              <a:ext cx="1752600" cy="1123950"/>
            </a:xfrm>
            <a:prstGeom prst="rect">
              <a:avLst/>
            </a:prstGeom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3" name="Retângulo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/>
          </xdr:nvSpPr>
          <xdr:spPr>
            <a:xfrm>
              <a:off x="6724650" y="13811250"/>
              <a:ext cx="628650" cy="1257300"/>
            </a:xfrm>
            <a:prstGeom prst="rect">
              <a:avLst/>
            </a:prstGeom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42" name="Retângulo 41">
              <a:extLst>
                <a:ext uri="{FF2B5EF4-FFF2-40B4-BE49-F238E27FC236}">
                  <a16:creationId xmlns:a16="http://schemas.microsoft.com/office/drawing/2014/main" id="{00000000-0008-0000-0100-00002A000000}"/>
                </a:ext>
              </a:extLst>
            </xdr:cNvPr>
            <xdr:cNvSpPr/>
          </xdr:nvSpPr>
          <xdr:spPr>
            <a:xfrm>
              <a:off x="7534275" y="13820774"/>
              <a:ext cx="628650" cy="1238251"/>
            </a:xfrm>
            <a:prstGeom prst="rect">
              <a:avLst/>
            </a:prstGeom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5" name="Triângulo Retângul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/>
          </xdr:nvSpPr>
          <xdr:spPr>
            <a:xfrm rot="10800000">
              <a:off x="6667499" y="13906500"/>
              <a:ext cx="57150" cy="152400"/>
            </a:xfrm>
            <a:prstGeom prst="rtTriangle">
              <a:avLst/>
            </a:prstGeom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45" name="Triângulo Retângulo 44">
              <a:extLst>
                <a:ext uri="{FF2B5EF4-FFF2-40B4-BE49-F238E27FC236}">
                  <a16:creationId xmlns:a16="http://schemas.microsoft.com/office/drawing/2014/main" id="{00000000-0008-0000-0100-00002D000000}"/>
                </a:ext>
              </a:extLst>
            </xdr:cNvPr>
            <xdr:cNvSpPr/>
          </xdr:nvSpPr>
          <xdr:spPr>
            <a:xfrm rot="10800000">
              <a:off x="7486649" y="13935075"/>
              <a:ext cx="57150" cy="152400"/>
            </a:xfrm>
            <a:prstGeom prst="rtTriangle">
              <a:avLst/>
            </a:prstGeom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46" name="Triângulo Retângulo 45">
              <a:extLs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/>
          </xdr:nvSpPr>
          <xdr:spPr>
            <a:xfrm rot="10800000" flipH="1">
              <a:off x="7333623" y="13932079"/>
              <a:ext cx="71433" cy="141334"/>
            </a:xfrm>
            <a:prstGeom prst="rtTriangl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47" name="Triângulo Retângulo 46">
              <a:extLst>
                <a:ext uri="{FF2B5EF4-FFF2-40B4-BE49-F238E27FC236}">
                  <a16:creationId xmlns:a16="http://schemas.microsoft.com/office/drawing/2014/main" id="{00000000-0008-0000-0100-00002F000000}"/>
                </a:ext>
              </a:extLst>
            </xdr:cNvPr>
            <xdr:cNvSpPr/>
          </xdr:nvSpPr>
          <xdr:spPr>
            <a:xfrm rot="10800000" flipH="1">
              <a:off x="8162298" y="13922554"/>
              <a:ext cx="71433" cy="141334"/>
            </a:xfrm>
            <a:prstGeom prst="rtTriangl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</xdr:grpSp>
      <xdr:cxnSp macro="">
        <xdr:nvCxnSpPr>
          <xdr:cNvPr id="8" name="Conector de Seta Reta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CxnSpPr/>
        </xdr:nvCxnSpPr>
        <xdr:spPr>
          <a:xfrm>
            <a:off x="6724650" y="14878050"/>
            <a:ext cx="1438275" cy="0"/>
          </a:xfrm>
          <a:prstGeom prst="straightConnector1">
            <a:avLst/>
          </a:prstGeom>
          <a:ln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CaixaDeTexto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7315200" y="14811375"/>
            <a:ext cx="285750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B</a:t>
            </a:r>
          </a:p>
        </xdr:txBody>
      </xdr:sp>
      <xdr:cxnSp macro="">
        <xdr:nvCxnSpPr>
          <xdr:cNvPr id="13" name="Conector de Seta Reta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CxnSpPr/>
        </xdr:nvCxnSpPr>
        <xdr:spPr>
          <a:xfrm>
            <a:off x="6238875" y="13544550"/>
            <a:ext cx="32385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Conector de Seta Reta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CxnSpPr/>
        </xdr:nvCxnSpPr>
        <xdr:spPr>
          <a:xfrm flipH="1">
            <a:off x="6734175" y="13544550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0" name="CaixaDeTexto 69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 txBox="1"/>
        </xdr:nvSpPr>
        <xdr:spPr>
          <a:xfrm>
            <a:off x="6200775" y="13239750"/>
            <a:ext cx="885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B + 1.2</a:t>
            </a:r>
            <a:endParaRPr lang="pt-BR" sz="1100"/>
          </a:p>
        </xdr:txBody>
      </xdr:sp>
      <xdr:cxnSp macro="">
        <xdr:nvCxnSpPr>
          <xdr:cNvPr id="71" name="Conector de Seta Reta 70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CxnSpPr/>
        </xdr:nvCxnSpPr>
        <xdr:spPr>
          <a:xfrm>
            <a:off x="7820025" y="13515975"/>
            <a:ext cx="32385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Conector de Seta Reta 71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CxnSpPr/>
        </xdr:nvCxnSpPr>
        <xdr:spPr>
          <a:xfrm flipH="1">
            <a:off x="8315325" y="13515975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3" name="CaixaDeTexto 72">
            <a:extLst>
              <a:ext uri="{FF2B5EF4-FFF2-40B4-BE49-F238E27FC236}">
                <a16:creationId xmlns:a16="http://schemas.microsoft.com/office/drawing/2014/main" id="{00000000-0008-0000-0100-000049000000}"/>
              </a:ext>
            </a:extLst>
          </xdr:cNvPr>
          <xdr:cNvSpPr txBox="1"/>
        </xdr:nvSpPr>
        <xdr:spPr>
          <a:xfrm>
            <a:off x="7781925" y="13211175"/>
            <a:ext cx="885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B + 1.2</a:t>
            </a:r>
            <a:endParaRPr lang="pt-BR" sz="1100"/>
          </a:p>
        </xdr:txBody>
      </xdr:sp>
      <xdr:cxnSp macro="">
        <xdr:nvCxnSpPr>
          <xdr:cNvPr id="74" name="Conector de Seta Reta 73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CxnSpPr/>
        </xdr:nvCxnSpPr>
        <xdr:spPr>
          <a:xfrm>
            <a:off x="7038975" y="14601825"/>
            <a:ext cx="32385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Conector de Seta Reta 74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CxnSpPr/>
        </xdr:nvCxnSpPr>
        <xdr:spPr>
          <a:xfrm flipH="1">
            <a:off x="7534275" y="14601825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6" name="CaixaDeTexto 75">
            <a:extLst>
              <a:ext uri="{FF2B5EF4-FFF2-40B4-BE49-F238E27FC236}">
                <a16:creationId xmlns:a16="http://schemas.microsoft.com/office/drawing/2014/main" id="{00000000-0008-0000-0100-00004C000000}"/>
              </a:ext>
            </a:extLst>
          </xdr:cNvPr>
          <xdr:cNvSpPr txBox="1"/>
        </xdr:nvSpPr>
        <xdr:spPr>
          <a:xfrm>
            <a:off x="6991350" y="14620875"/>
            <a:ext cx="885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B + 0.4</a:t>
            </a:r>
            <a:endParaRPr lang="pt-B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419100</xdr:colOff>
      <xdr:row>159</xdr:row>
      <xdr:rowOff>123824</xdr:rowOff>
    </xdr:from>
    <xdr:to>
      <xdr:col>13</xdr:col>
      <xdr:colOff>142875</xdr:colOff>
      <xdr:row>185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625" t="21748" r="43404" b="10275"/>
        <a:stretch/>
      </xdr:blipFill>
      <xdr:spPr>
        <a:xfrm>
          <a:off x="7467600" y="30765749"/>
          <a:ext cx="4029075" cy="4972051"/>
        </a:xfrm>
        <a:prstGeom prst="rect">
          <a:avLst/>
        </a:prstGeom>
      </xdr:spPr>
    </xdr:pic>
    <xdr:clientData/>
  </xdr:twoCellAnchor>
  <xdr:twoCellAnchor>
    <xdr:from>
      <xdr:col>2</xdr:col>
      <xdr:colOff>76200</xdr:colOff>
      <xdr:row>264</xdr:row>
      <xdr:rowOff>76200</xdr:rowOff>
    </xdr:from>
    <xdr:to>
      <xdr:col>7</xdr:col>
      <xdr:colOff>114300</xdr:colOff>
      <xdr:row>279</xdr:row>
      <xdr:rowOff>19050</xdr:rowOff>
    </xdr:to>
    <xdr:pic>
      <xdr:nvPicPr>
        <xdr:cNvPr id="59" name="Imagem 293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50739675"/>
          <a:ext cx="4371975" cy="280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200025</xdr:colOff>
      <xdr:row>283</xdr:row>
      <xdr:rowOff>95250</xdr:rowOff>
    </xdr:from>
    <xdr:to>
      <xdr:col>7</xdr:col>
      <xdr:colOff>304800</xdr:colOff>
      <xdr:row>298</xdr:row>
      <xdr:rowOff>76200</xdr:rowOff>
    </xdr:to>
    <xdr:pic>
      <xdr:nvPicPr>
        <xdr:cNvPr id="61" name="Imagem 295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54378225"/>
          <a:ext cx="4438650" cy="2838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762000</xdr:colOff>
      <xdr:row>339</xdr:row>
      <xdr:rowOff>85725</xdr:rowOff>
    </xdr:from>
    <xdr:to>
      <xdr:col>7</xdr:col>
      <xdr:colOff>400050</xdr:colOff>
      <xdr:row>354</xdr:row>
      <xdr:rowOff>0</xdr:rowOff>
    </xdr:to>
    <xdr:pic>
      <xdr:nvPicPr>
        <xdr:cNvPr id="63" name="Imagem 3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65141475"/>
          <a:ext cx="5695950" cy="277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790575</xdr:colOff>
      <xdr:row>304</xdr:row>
      <xdr:rowOff>133350</xdr:rowOff>
    </xdr:from>
    <xdr:to>
      <xdr:col>7</xdr:col>
      <xdr:colOff>619125</xdr:colOff>
      <xdr:row>321</xdr:row>
      <xdr:rowOff>66675</xdr:rowOff>
    </xdr:to>
    <xdr:pic>
      <xdr:nvPicPr>
        <xdr:cNvPr id="69" name="Imagem 319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58416825"/>
          <a:ext cx="5886450" cy="3171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423</xdr:row>
      <xdr:rowOff>0</xdr:rowOff>
    </xdr:from>
    <xdr:to>
      <xdr:col>7</xdr:col>
      <xdr:colOff>400050</xdr:colOff>
      <xdr:row>438</xdr:row>
      <xdr:rowOff>95250</xdr:rowOff>
    </xdr:to>
    <xdr:pic>
      <xdr:nvPicPr>
        <xdr:cNvPr id="71" name="Imagem 339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82134075"/>
          <a:ext cx="5610225" cy="295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452</xdr:row>
      <xdr:rowOff>0</xdr:rowOff>
    </xdr:from>
    <xdr:to>
      <xdr:col>7</xdr:col>
      <xdr:colOff>400050</xdr:colOff>
      <xdr:row>467</xdr:row>
      <xdr:rowOff>95250</xdr:rowOff>
    </xdr:to>
    <xdr:pic>
      <xdr:nvPicPr>
        <xdr:cNvPr id="72" name="Imagem 34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88049100"/>
          <a:ext cx="5610225" cy="295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762000</xdr:colOff>
      <xdr:row>378</xdr:row>
      <xdr:rowOff>123825</xdr:rowOff>
    </xdr:from>
    <xdr:to>
      <xdr:col>8</xdr:col>
      <xdr:colOff>161925</xdr:colOff>
      <xdr:row>396</xdr:row>
      <xdr:rowOff>171450</xdr:rowOff>
    </xdr:to>
    <xdr:pic>
      <xdr:nvPicPr>
        <xdr:cNvPr id="73" name="Imagem 346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73371075"/>
          <a:ext cx="5600700" cy="3476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74" name="Imagem 348" descr="Ministério de Minas e Energia - MME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75" name="Caixa de Texto 349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2098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76" name="Imagem 350" descr="PCE azul completo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7067550" y="123825"/>
          <a:ext cx="15811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77" name="Imagem 351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161925"/>
          <a:ext cx="15335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333375</xdr:rowOff>
    </xdr:to>
    <xdr:pic>
      <xdr:nvPicPr>
        <xdr:cNvPr id="78" name="Imagem 352" descr="Ministério de Minas e Energia - MME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79" name="Caixa de Texto 353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2098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80" name="Imagem 354" descr="PCE azul completo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7067550" y="123825"/>
          <a:ext cx="15811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81" name="Imagem 355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161925"/>
          <a:ext cx="15335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63</xdr:row>
          <xdr:rowOff>66675</xdr:rowOff>
        </xdr:from>
        <xdr:to>
          <xdr:col>4</xdr:col>
          <xdr:colOff>152400</xdr:colOff>
          <xdr:row>65</xdr:row>
          <xdr:rowOff>76200</xdr:rowOff>
        </xdr:to>
        <xdr:sp macro="" textlink="">
          <xdr:nvSpPr>
            <xdr:cNvPr id="29697" name="Figura 62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2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103</xdr:row>
          <xdr:rowOff>142875</xdr:rowOff>
        </xdr:from>
        <xdr:to>
          <xdr:col>2</xdr:col>
          <xdr:colOff>485775</xdr:colOff>
          <xdr:row>105</xdr:row>
          <xdr:rowOff>152400</xdr:rowOff>
        </xdr:to>
        <xdr:sp macro="" textlink="">
          <xdr:nvSpPr>
            <xdr:cNvPr id="29698" name="Figura 63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2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139</xdr:row>
          <xdr:rowOff>9525</xdr:rowOff>
        </xdr:from>
        <xdr:to>
          <xdr:col>4</xdr:col>
          <xdr:colOff>400050</xdr:colOff>
          <xdr:row>140</xdr:row>
          <xdr:rowOff>57150</xdr:rowOff>
        </xdr:to>
        <xdr:sp macro="" textlink="">
          <xdr:nvSpPr>
            <xdr:cNvPr id="29699" name="Figura 64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02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129</xdr:row>
          <xdr:rowOff>104775</xdr:rowOff>
        </xdr:from>
        <xdr:to>
          <xdr:col>2</xdr:col>
          <xdr:colOff>342900</xdr:colOff>
          <xdr:row>131</xdr:row>
          <xdr:rowOff>114300</xdr:rowOff>
        </xdr:to>
        <xdr:sp macro="" textlink="">
          <xdr:nvSpPr>
            <xdr:cNvPr id="29700" name="Figura 65" hidden="1">
              <a:extLst>
                <a:ext uri="{63B3BB69-23CF-44E3-9099-C40C66FF867C}">
                  <a14:compatExt spid="_x0000_s29700"/>
                </a:ext>
                <a:ext uri="{FF2B5EF4-FFF2-40B4-BE49-F238E27FC236}">
                  <a16:creationId xmlns:a16="http://schemas.microsoft.com/office/drawing/2014/main" id="{00000000-0008-0000-0200-00000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133</xdr:row>
          <xdr:rowOff>19050</xdr:rowOff>
        </xdr:from>
        <xdr:to>
          <xdr:col>3</xdr:col>
          <xdr:colOff>161925</xdr:colOff>
          <xdr:row>134</xdr:row>
          <xdr:rowOff>47625</xdr:rowOff>
        </xdr:to>
        <xdr:sp macro="" textlink="">
          <xdr:nvSpPr>
            <xdr:cNvPr id="29701" name="Figura 66" hidden="1">
              <a:extLst>
                <a:ext uri="{63B3BB69-23CF-44E3-9099-C40C66FF867C}">
                  <a14:compatExt spid="_x0000_s29701"/>
                </a:ext>
                <a:ext uri="{FF2B5EF4-FFF2-40B4-BE49-F238E27FC236}">
                  <a16:creationId xmlns:a16="http://schemas.microsoft.com/office/drawing/2014/main" id="{00000000-0008-0000-0200-00000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142</xdr:row>
          <xdr:rowOff>95250</xdr:rowOff>
        </xdr:from>
        <xdr:to>
          <xdr:col>4</xdr:col>
          <xdr:colOff>704850</xdr:colOff>
          <xdr:row>144</xdr:row>
          <xdr:rowOff>123825</xdr:rowOff>
        </xdr:to>
        <xdr:sp macro="" textlink="">
          <xdr:nvSpPr>
            <xdr:cNvPr id="29702" name="Figura 67" hidden="1">
              <a:extLst>
                <a:ext uri="{63B3BB69-23CF-44E3-9099-C40C66FF867C}">
                  <a14:compatExt spid="_x0000_s29702"/>
                </a:ext>
                <a:ext uri="{FF2B5EF4-FFF2-40B4-BE49-F238E27FC236}">
                  <a16:creationId xmlns:a16="http://schemas.microsoft.com/office/drawing/2014/main" id="{00000000-0008-0000-0200-00000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59</xdr:row>
          <xdr:rowOff>133350</xdr:rowOff>
        </xdr:from>
        <xdr:to>
          <xdr:col>2</xdr:col>
          <xdr:colOff>333375</xdr:colOff>
          <xdr:row>61</xdr:row>
          <xdr:rowOff>142875</xdr:rowOff>
        </xdr:to>
        <xdr:sp macro="" textlink="">
          <xdr:nvSpPr>
            <xdr:cNvPr id="29703" name="Figura 71" hidden="1">
              <a:extLst>
                <a:ext uri="{63B3BB69-23CF-44E3-9099-C40C66FF867C}">
                  <a14:compatExt spid="_x0000_s29703"/>
                </a:ext>
                <a:ext uri="{FF2B5EF4-FFF2-40B4-BE49-F238E27FC236}">
                  <a16:creationId xmlns:a16="http://schemas.microsoft.com/office/drawing/2014/main" id="{00000000-0008-0000-0200-00000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116</xdr:row>
          <xdr:rowOff>9525</xdr:rowOff>
        </xdr:from>
        <xdr:to>
          <xdr:col>3</xdr:col>
          <xdr:colOff>104775</xdr:colOff>
          <xdr:row>117</xdr:row>
          <xdr:rowOff>38100</xdr:rowOff>
        </xdr:to>
        <xdr:sp macro="" textlink="">
          <xdr:nvSpPr>
            <xdr:cNvPr id="29704" name="Figura 72" hidden="1">
              <a:extLst>
                <a:ext uri="{63B3BB69-23CF-44E3-9099-C40C66FF867C}">
                  <a14:compatExt spid="_x0000_s29704"/>
                </a:ext>
                <a:ext uri="{FF2B5EF4-FFF2-40B4-BE49-F238E27FC236}">
                  <a16:creationId xmlns:a16="http://schemas.microsoft.com/office/drawing/2014/main" id="{00000000-0008-0000-0200-00000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44</xdr:row>
          <xdr:rowOff>114300</xdr:rowOff>
        </xdr:from>
        <xdr:to>
          <xdr:col>2</xdr:col>
          <xdr:colOff>666750</xdr:colOff>
          <xdr:row>46</xdr:row>
          <xdr:rowOff>85725</xdr:rowOff>
        </xdr:to>
        <xdr:sp macro="" textlink="">
          <xdr:nvSpPr>
            <xdr:cNvPr id="29705" name="Figura 88" hidden="1">
              <a:extLst>
                <a:ext uri="{63B3BB69-23CF-44E3-9099-C40C66FF867C}">
                  <a14:compatExt spid="_x0000_s29705"/>
                </a:ext>
                <a:ext uri="{FF2B5EF4-FFF2-40B4-BE49-F238E27FC236}">
                  <a16:creationId xmlns:a16="http://schemas.microsoft.com/office/drawing/2014/main" id="{00000000-0008-0000-0200-00000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81</xdr:row>
          <xdr:rowOff>123825</xdr:rowOff>
        </xdr:from>
        <xdr:to>
          <xdr:col>3</xdr:col>
          <xdr:colOff>9525</xdr:colOff>
          <xdr:row>83</xdr:row>
          <xdr:rowOff>114300</xdr:rowOff>
        </xdr:to>
        <xdr:sp macro="" textlink="">
          <xdr:nvSpPr>
            <xdr:cNvPr id="29706" name="Figura 90" hidden="1">
              <a:extLst>
                <a:ext uri="{63B3BB69-23CF-44E3-9099-C40C66FF867C}">
                  <a14:compatExt spid="_x0000_s29706"/>
                </a:ext>
                <a:ext uri="{FF2B5EF4-FFF2-40B4-BE49-F238E27FC236}">
                  <a16:creationId xmlns:a16="http://schemas.microsoft.com/office/drawing/2014/main" id="{00000000-0008-0000-0200-00000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100</xdr:row>
          <xdr:rowOff>28575</xdr:rowOff>
        </xdr:from>
        <xdr:to>
          <xdr:col>2</xdr:col>
          <xdr:colOff>257175</xdr:colOff>
          <xdr:row>101</xdr:row>
          <xdr:rowOff>38100</xdr:rowOff>
        </xdr:to>
        <xdr:sp macro="" textlink="">
          <xdr:nvSpPr>
            <xdr:cNvPr id="29707" name="Figura 91" hidden="1">
              <a:extLst>
                <a:ext uri="{63B3BB69-23CF-44E3-9099-C40C66FF867C}">
                  <a14:compatExt spid="_x0000_s29707"/>
                </a:ext>
                <a:ext uri="{FF2B5EF4-FFF2-40B4-BE49-F238E27FC236}">
                  <a16:creationId xmlns:a16="http://schemas.microsoft.com/office/drawing/2014/main" id="{00000000-0008-0000-0200-00000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147</xdr:row>
          <xdr:rowOff>9525</xdr:rowOff>
        </xdr:from>
        <xdr:to>
          <xdr:col>2</xdr:col>
          <xdr:colOff>438150</xdr:colOff>
          <xdr:row>148</xdr:row>
          <xdr:rowOff>9525</xdr:rowOff>
        </xdr:to>
        <xdr:sp macro="" textlink="">
          <xdr:nvSpPr>
            <xdr:cNvPr id="29708" name="Figura 94" hidden="1">
              <a:extLst>
                <a:ext uri="{63B3BB69-23CF-44E3-9099-C40C66FF867C}">
                  <a14:compatExt spid="_x0000_s29708"/>
                </a:ext>
                <a:ext uri="{FF2B5EF4-FFF2-40B4-BE49-F238E27FC236}">
                  <a16:creationId xmlns:a16="http://schemas.microsoft.com/office/drawing/2014/main" id="{00000000-0008-0000-0200-00000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152</xdr:row>
          <xdr:rowOff>0</xdr:rowOff>
        </xdr:from>
        <xdr:to>
          <xdr:col>3</xdr:col>
          <xdr:colOff>704850</xdr:colOff>
          <xdr:row>153</xdr:row>
          <xdr:rowOff>0</xdr:rowOff>
        </xdr:to>
        <xdr:sp macro="" textlink="">
          <xdr:nvSpPr>
            <xdr:cNvPr id="29709" name="Figura 97" hidden="1">
              <a:extLst>
                <a:ext uri="{63B3BB69-23CF-44E3-9099-C40C66FF867C}">
                  <a14:compatExt spid="_x0000_s29709"/>
                </a:ext>
                <a:ext uri="{FF2B5EF4-FFF2-40B4-BE49-F238E27FC236}">
                  <a16:creationId xmlns:a16="http://schemas.microsoft.com/office/drawing/2014/main" id="{00000000-0008-0000-0200-00000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155</xdr:row>
          <xdr:rowOff>47625</xdr:rowOff>
        </xdr:from>
        <xdr:to>
          <xdr:col>2</xdr:col>
          <xdr:colOff>676275</xdr:colOff>
          <xdr:row>156</xdr:row>
          <xdr:rowOff>47625</xdr:rowOff>
        </xdr:to>
        <xdr:sp macro="" textlink="">
          <xdr:nvSpPr>
            <xdr:cNvPr id="29710" name="Figura 98" hidden="1">
              <a:extLst>
                <a:ext uri="{63B3BB69-23CF-44E3-9099-C40C66FF867C}">
                  <a14:compatExt spid="_x0000_s29710"/>
                </a:ext>
                <a:ext uri="{FF2B5EF4-FFF2-40B4-BE49-F238E27FC236}">
                  <a16:creationId xmlns:a16="http://schemas.microsoft.com/office/drawing/2014/main" id="{00000000-0008-0000-0200-00000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160</xdr:row>
          <xdr:rowOff>47625</xdr:rowOff>
        </xdr:from>
        <xdr:to>
          <xdr:col>2</xdr:col>
          <xdr:colOff>409575</xdr:colOff>
          <xdr:row>161</xdr:row>
          <xdr:rowOff>47625</xdr:rowOff>
        </xdr:to>
        <xdr:sp macro="" textlink="">
          <xdr:nvSpPr>
            <xdr:cNvPr id="29711" name="Figura 99" hidden="1">
              <a:extLst>
                <a:ext uri="{63B3BB69-23CF-44E3-9099-C40C66FF867C}">
                  <a14:compatExt spid="_x0000_s29711"/>
                </a:ext>
                <a:ext uri="{FF2B5EF4-FFF2-40B4-BE49-F238E27FC236}">
                  <a16:creationId xmlns:a16="http://schemas.microsoft.com/office/drawing/2014/main" id="{00000000-0008-0000-0200-00000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162</xdr:row>
          <xdr:rowOff>38100</xdr:rowOff>
        </xdr:from>
        <xdr:to>
          <xdr:col>2</xdr:col>
          <xdr:colOff>390525</xdr:colOff>
          <xdr:row>163</xdr:row>
          <xdr:rowOff>38100</xdr:rowOff>
        </xdr:to>
        <xdr:sp macro="" textlink="">
          <xdr:nvSpPr>
            <xdr:cNvPr id="29712" name="Figura 100" hidden="1">
              <a:extLst>
                <a:ext uri="{63B3BB69-23CF-44E3-9099-C40C66FF867C}">
                  <a14:compatExt spid="_x0000_s29712"/>
                </a:ext>
                <a:ext uri="{FF2B5EF4-FFF2-40B4-BE49-F238E27FC236}">
                  <a16:creationId xmlns:a16="http://schemas.microsoft.com/office/drawing/2014/main" id="{00000000-0008-0000-0200-00001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164</xdr:row>
          <xdr:rowOff>38100</xdr:rowOff>
        </xdr:from>
        <xdr:to>
          <xdr:col>2</xdr:col>
          <xdr:colOff>447675</xdr:colOff>
          <xdr:row>165</xdr:row>
          <xdr:rowOff>38100</xdr:rowOff>
        </xdr:to>
        <xdr:sp macro="" textlink="">
          <xdr:nvSpPr>
            <xdr:cNvPr id="29713" name="Figura 101" hidden="1">
              <a:extLst>
                <a:ext uri="{63B3BB69-23CF-44E3-9099-C40C66FF867C}">
                  <a14:compatExt spid="_x0000_s29713"/>
                </a:ext>
                <a:ext uri="{FF2B5EF4-FFF2-40B4-BE49-F238E27FC236}">
                  <a16:creationId xmlns:a16="http://schemas.microsoft.com/office/drawing/2014/main" id="{00000000-0008-0000-0200-00001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166</xdr:row>
          <xdr:rowOff>38100</xdr:rowOff>
        </xdr:from>
        <xdr:to>
          <xdr:col>2</xdr:col>
          <xdr:colOff>381000</xdr:colOff>
          <xdr:row>167</xdr:row>
          <xdr:rowOff>38100</xdr:rowOff>
        </xdr:to>
        <xdr:sp macro="" textlink="">
          <xdr:nvSpPr>
            <xdr:cNvPr id="29714" name="Figura 102" hidden="1">
              <a:extLst>
                <a:ext uri="{63B3BB69-23CF-44E3-9099-C40C66FF867C}">
                  <a14:compatExt spid="_x0000_s29714"/>
                </a:ext>
                <a:ext uri="{FF2B5EF4-FFF2-40B4-BE49-F238E27FC236}">
                  <a16:creationId xmlns:a16="http://schemas.microsoft.com/office/drawing/2014/main" id="{00000000-0008-0000-0200-00001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170</xdr:row>
          <xdr:rowOff>9525</xdr:rowOff>
        </xdr:from>
        <xdr:to>
          <xdr:col>2</xdr:col>
          <xdr:colOff>390525</xdr:colOff>
          <xdr:row>171</xdr:row>
          <xdr:rowOff>9525</xdr:rowOff>
        </xdr:to>
        <xdr:sp macro="" textlink="">
          <xdr:nvSpPr>
            <xdr:cNvPr id="29715" name="Figura 105" hidden="1">
              <a:extLst>
                <a:ext uri="{63B3BB69-23CF-44E3-9099-C40C66FF867C}">
                  <a14:compatExt spid="_x0000_s29715"/>
                </a:ext>
                <a:ext uri="{FF2B5EF4-FFF2-40B4-BE49-F238E27FC236}">
                  <a16:creationId xmlns:a16="http://schemas.microsoft.com/office/drawing/2014/main" id="{00000000-0008-0000-0200-00001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172</xdr:row>
          <xdr:rowOff>38100</xdr:rowOff>
        </xdr:from>
        <xdr:to>
          <xdr:col>2</xdr:col>
          <xdr:colOff>371475</xdr:colOff>
          <xdr:row>173</xdr:row>
          <xdr:rowOff>38100</xdr:rowOff>
        </xdr:to>
        <xdr:sp macro="" textlink="">
          <xdr:nvSpPr>
            <xdr:cNvPr id="29716" name="Figura 106" hidden="1">
              <a:extLst>
                <a:ext uri="{63B3BB69-23CF-44E3-9099-C40C66FF867C}">
                  <a14:compatExt spid="_x0000_s29716"/>
                </a:ext>
                <a:ext uri="{FF2B5EF4-FFF2-40B4-BE49-F238E27FC236}">
                  <a16:creationId xmlns:a16="http://schemas.microsoft.com/office/drawing/2014/main" id="{00000000-0008-0000-0200-00001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176</xdr:row>
          <xdr:rowOff>19050</xdr:rowOff>
        </xdr:from>
        <xdr:to>
          <xdr:col>2</xdr:col>
          <xdr:colOff>438150</xdr:colOff>
          <xdr:row>177</xdr:row>
          <xdr:rowOff>19050</xdr:rowOff>
        </xdr:to>
        <xdr:sp macro="" textlink="">
          <xdr:nvSpPr>
            <xdr:cNvPr id="29717" name="Figura 110" hidden="1">
              <a:extLst>
                <a:ext uri="{63B3BB69-23CF-44E3-9099-C40C66FF867C}">
                  <a14:compatExt spid="_x0000_s29717"/>
                </a:ext>
                <a:ext uri="{FF2B5EF4-FFF2-40B4-BE49-F238E27FC236}">
                  <a16:creationId xmlns:a16="http://schemas.microsoft.com/office/drawing/2014/main" id="{00000000-0008-0000-0200-00001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182</xdr:row>
          <xdr:rowOff>19050</xdr:rowOff>
        </xdr:from>
        <xdr:to>
          <xdr:col>2</xdr:col>
          <xdr:colOff>657225</xdr:colOff>
          <xdr:row>183</xdr:row>
          <xdr:rowOff>19050</xdr:rowOff>
        </xdr:to>
        <xdr:sp macro="" textlink="">
          <xdr:nvSpPr>
            <xdr:cNvPr id="29718" name="Figura 114" hidden="1">
              <a:extLst>
                <a:ext uri="{63B3BB69-23CF-44E3-9099-C40C66FF867C}">
                  <a14:compatExt spid="_x0000_s29718"/>
                </a:ext>
                <a:ext uri="{FF2B5EF4-FFF2-40B4-BE49-F238E27FC236}">
                  <a16:creationId xmlns:a16="http://schemas.microsoft.com/office/drawing/2014/main" id="{00000000-0008-0000-0200-00001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186</xdr:row>
          <xdr:rowOff>9525</xdr:rowOff>
        </xdr:from>
        <xdr:to>
          <xdr:col>3</xdr:col>
          <xdr:colOff>85725</xdr:colOff>
          <xdr:row>187</xdr:row>
          <xdr:rowOff>19050</xdr:rowOff>
        </xdr:to>
        <xdr:sp macro="" textlink="">
          <xdr:nvSpPr>
            <xdr:cNvPr id="29719" name="Figura 115" hidden="1">
              <a:extLst>
                <a:ext uri="{63B3BB69-23CF-44E3-9099-C40C66FF867C}">
                  <a14:compatExt spid="_x0000_s29719"/>
                </a:ext>
                <a:ext uri="{FF2B5EF4-FFF2-40B4-BE49-F238E27FC236}">
                  <a16:creationId xmlns:a16="http://schemas.microsoft.com/office/drawing/2014/main" id="{00000000-0008-0000-0200-00001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198</xdr:row>
          <xdr:rowOff>38100</xdr:rowOff>
        </xdr:from>
        <xdr:to>
          <xdr:col>2</xdr:col>
          <xdr:colOff>247650</xdr:colOff>
          <xdr:row>199</xdr:row>
          <xdr:rowOff>38100</xdr:rowOff>
        </xdr:to>
        <xdr:sp macro="" textlink="">
          <xdr:nvSpPr>
            <xdr:cNvPr id="29720" name="Figura 120" hidden="1">
              <a:extLst>
                <a:ext uri="{63B3BB69-23CF-44E3-9099-C40C66FF867C}">
                  <a14:compatExt spid="_x0000_s29720"/>
                </a:ext>
                <a:ext uri="{FF2B5EF4-FFF2-40B4-BE49-F238E27FC236}">
                  <a16:creationId xmlns:a16="http://schemas.microsoft.com/office/drawing/2014/main" id="{00000000-0008-0000-0200-00001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189</xdr:row>
          <xdr:rowOff>19050</xdr:rowOff>
        </xdr:from>
        <xdr:to>
          <xdr:col>3</xdr:col>
          <xdr:colOff>695325</xdr:colOff>
          <xdr:row>191</xdr:row>
          <xdr:rowOff>161925</xdr:rowOff>
        </xdr:to>
        <xdr:sp macro="" textlink="">
          <xdr:nvSpPr>
            <xdr:cNvPr id="29721" name="Figura 121" hidden="1">
              <a:extLst>
                <a:ext uri="{63B3BB69-23CF-44E3-9099-C40C66FF867C}">
                  <a14:compatExt spid="_x0000_s29721"/>
                </a:ext>
                <a:ext uri="{FF2B5EF4-FFF2-40B4-BE49-F238E27FC236}">
                  <a16:creationId xmlns:a16="http://schemas.microsoft.com/office/drawing/2014/main" id="{00000000-0008-0000-0200-00001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68</xdr:row>
          <xdr:rowOff>19050</xdr:rowOff>
        </xdr:from>
        <xdr:to>
          <xdr:col>4</xdr:col>
          <xdr:colOff>247650</xdr:colOff>
          <xdr:row>69</xdr:row>
          <xdr:rowOff>47625</xdr:rowOff>
        </xdr:to>
        <xdr:sp macro="" textlink="">
          <xdr:nvSpPr>
            <xdr:cNvPr id="29722" name="Figura 125" hidden="1">
              <a:extLst>
                <a:ext uri="{63B3BB69-23CF-44E3-9099-C40C66FF867C}">
                  <a14:compatExt spid="_x0000_s29722"/>
                </a:ext>
                <a:ext uri="{FF2B5EF4-FFF2-40B4-BE49-F238E27FC236}">
                  <a16:creationId xmlns:a16="http://schemas.microsoft.com/office/drawing/2014/main" id="{00000000-0008-0000-0200-00001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69</xdr:row>
          <xdr:rowOff>133350</xdr:rowOff>
        </xdr:from>
        <xdr:to>
          <xdr:col>4</xdr:col>
          <xdr:colOff>209550</xdr:colOff>
          <xdr:row>70</xdr:row>
          <xdr:rowOff>161925</xdr:rowOff>
        </xdr:to>
        <xdr:sp macro="" textlink="">
          <xdr:nvSpPr>
            <xdr:cNvPr id="29723" name="Figura 126" hidden="1">
              <a:extLst>
                <a:ext uri="{63B3BB69-23CF-44E3-9099-C40C66FF867C}">
                  <a14:compatExt spid="_x0000_s29723"/>
                </a:ext>
                <a:ext uri="{FF2B5EF4-FFF2-40B4-BE49-F238E27FC236}">
                  <a16:creationId xmlns:a16="http://schemas.microsoft.com/office/drawing/2014/main" id="{00000000-0008-0000-0200-00001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71</xdr:row>
          <xdr:rowOff>66675</xdr:rowOff>
        </xdr:from>
        <xdr:to>
          <xdr:col>3</xdr:col>
          <xdr:colOff>800100</xdr:colOff>
          <xdr:row>72</xdr:row>
          <xdr:rowOff>85725</xdr:rowOff>
        </xdr:to>
        <xdr:sp macro="" textlink="">
          <xdr:nvSpPr>
            <xdr:cNvPr id="29724" name="Figura 127" hidden="1">
              <a:extLst>
                <a:ext uri="{63B3BB69-23CF-44E3-9099-C40C66FF867C}">
                  <a14:compatExt spid="_x0000_s29724"/>
                </a:ext>
                <a:ext uri="{FF2B5EF4-FFF2-40B4-BE49-F238E27FC236}">
                  <a16:creationId xmlns:a16="http://schemas.microsoft.com/office/drawing/2014/main" id="{00000000-0008-0000-0200-00001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3366FF" mc:Ignorable="a14" a14:legacySpreadsheetColorIndex="48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86</xdr:row>
          <xdr:rowOff>19050</xdr:rowOff>
        </xdr:from>
        <xdr:to>
          <xdr:col>3</xdr:col>
          <xdr:colOff>304800</xdr:colOff>
          <xdr:row>87</xdr:row>
          <xdr:rowOff>19050</xdr:rowOff>
        </xdr:to>
        <xdr:sp macro="" textlink="">
          <xdr:nvSpPr>
            <xdr:cNvPr id="29725" name="Figura 130" hidden="1">
              <a:extLst>
                <a:ext uri="{63B3BB69-23CF-44E3-9099-C40C66FF867C}">
                  <a14:compatExt spid="_x0000_s29725"/>
                </a:ext>
                <a:ext uri="{FF2B5EF4-FFF2-40B4-BE49-F238E27FC236}">
                  <a16:creationId xmlns:a16="http://schemas.microsoft.com/office/drawing/2014/main" id="{00000000-0008-0000-0200-00001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94</xdr:row>
          <xdr:rowOff>114300</xdr:rowOff>
        </xdr:from>
        <xdr:to>
          <xdr:col>3</xdr:col>
          <xdr:colOff>133350</xdr:colOff>
          <xdr:row>96</xdr:row>
          <xdr:rowOff>152400</xdr:rowOff>
        </xdr:to>
        <xdr:sp macro="" textlink="">
          <xdr:nvSpPr>
            <xdr:cNvPr id="29726" name="Figura 134" hidden="1">
              <a:extLst>
                <a:ext uri="{63B3BB69-23CF-44E3-9099-C40C66FF867C}">
                  <a14:compatExt spid="_x0000_s29726"/>
                </a:ext>
                <a:ext uri="{FF2B5EF4-FFF2-40B4-BE49-F238E27FC236}">
                  <a16:creationId xmlns:a16="http://schemas.microsoft.com/office/drawing/2014/main" id="{00000000-0008-0000-0200-00001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714375</xdr:colOff>
          <xdr:row>95</xdr:row>
          <xdr:rowOff>19050</xdr:rowOff>
        </xdr:from>
        <xdr:to>
          <xdr:col>7</xdr:col>
          <xdr:colOff>933450</xdr:colOff>
          <xdr:row>97</xdr:row>
          <xdr:rowOff>171450</xdr:rowOff>
        </xdr:to>
        <xdr:sp macro="" textlink="">
          <xdr:nvSpPr>
            <xdr:cNvPr id="29727" name="Figura 135" hidden="1">
              <a:extLst>
                <a:ext uri="{63B3BB69-23CF-44E3-9099-C40C66FF867C}">
                  <a14:compatExt spid="_x0000_s29727"/>
                </a:ext>
                <a:ext uri="{FF2B5EF4-FFF2-40B4-BE49-F238E27FC236}">
                  <a16:creationId xmlns:a16="http://schemas.microsoft.com/office/drawing/2014/main" id="{00000000-0008-0000-0200-00001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112</xdr:row>
          <xdr:rowOff>180975</xdr:rowOff>
        </xdr:from>
        <xdr:to>
          <xdr:col>3</xdr:col>
          <xdr:colOff>733425</xdr:colOff>
          <xdr:row>114</xdr:row>
          <xdr:rowOff>19050</xdr:rowOff>
        </xdr:to>
        <xdr:sp macro="" textlink="">
          <xdr:nvSpPr>
            <xdr:cNvPr id="29728" name="Figura 142" hidden="1">
              <a:extLst>
                <a:ext uri="{63B3BB69-23CF-44E3-9099-C40C66FF867C}">
                  <a14:compatExt spid="_x0000_s29728"/>
                </a:ext>
                <a:ext uri="{FF2B5EF4-FFF2-40B4-BE49-F238E27FC236}">
                  <a16:creationId xmlns:a16="http://schemas.microsoft.com/office/drawing/2014/main" id="{00000000-0008-0000-0200-00002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119</xdr:row>
          <xdr:rowOff>114300</xdr:rowOff>
        </xdr:from>
        <xdr:to>
          <xdr:col>7</xdr:col>
          <xdr:colOff>704850</xdr:colOff>
          <xdr:row>121</xdr:row>
          <xdr:rowOff>104775</xdr:rowOff>
        </xdr:to>
        <xdr:sp macro="" textlink="">
          <xdr:nvSpPr>
            <xdr:cNvPr id="29729" name="Figura 144" hidden="1">
              <a:extLst>
                <a:ext uri="{63B3BB69-23CF-44E3-9099-C40C66FF867C}">
                  <a14:compatExt spid="_x0000_s29729"/>
                </a:ext>
                <a:ext uri="{FF2B5EF4-FFF2-40B4-BE49-F238E27FC236}">
                  <a16:creationId xmlns:a16="http://schemas.microsoft.com/office/drawing/2014/main" id="{00000000-0008-0000-0200-00002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121</xdr:row>
          <xdr:rowOff>142875</xdr:rowOff>
        </xdr:from>
        <xdr:to>
          <xdr:col>5</xdr:col>
          <xdr:colOff>352425</xdr:colOff>
          <xdr:row>123</xdr:row>
          <xdr:rowOff>133350</xdr:rowOff>
        </xdr:to>
        <xdr:sp macro="" textlink="">
          <xdr:nvSpPr>
            <xdr:cNvPr id="29730" name="Figura 145" hidden="1">
              <a:extLst>
                <a:ext uri="{63B3BB69-23CF-44E3-9099-C40C66FF867C}">
                  <a14:compatExt spid="_x0000_s29730"/>
                </a:ext>
                <a:ext uri="{FF2B5EF4-FFF2-40B4-BE49-F238E27FC236}">
                  <a16:creationId xmlns:a16="http://schemas.microsoft.com/office/drawing/2014/main" id="{00000000-0008-0000-0200-00002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150</xdr:row>
          <xdr:rowOff>9525</xdr:rowOff>
        </xdr:from>
        <xdr:to>
          <xdr:col>4</xdr:col>
          <xdr:colOff>209550</xdr:colOff>
          <xdr:row>151</xdr:row>
          <xdr:rowOff>9525</xdr:rowOff>
        </xdr:to>
        <xdr:sp macro="" textlink="">
          <xdr:nvSpPr>
            <xdr:cNvPr id="29731" name="Figura 206" hidden="1">
              <a:extLst>
                <a:ext uri="{63B3BB69-23CF-44E3-9099-C40C66FF867C}">
                  <a14:compatExt spid="_x0000_s29731"/>
                </a:ext>
                <a:ext uri="{FF2B5EF4-FFF2-40B4-BE49-F238E27FC236}">
                  <a16:creationId xmlns:a16="http://schemas.microsoft.com/office/drawing/2014/main" id="{00000000-0008-0000-0200-00002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247650</xdr:colOff>
          <xdr:row>112</xdr:row>
          <xdr:rowOff>171450</xdr:rowOff>
        </xdr:from>
        <xdr:to>
          <xdr:col>7</xdr:col>
          <xdr:colOff>904875</xdr:colOff>
          <xdr:row>114</xdr:row>
          <xdr:rowOff>9525</xdr:rowOff>
        </xdr:to>
        <xdr:sp macro="" textlink="">
          <xdr:nvSpPr>
            <xdr:cNvPr id="29732" name="Figura 208" hidden="1">
              <a:extLst>
                <a:ext uri="{63B3BB69-23CF-44E3-9099-C40C66FF867C}">
                  <a14:compatExt spid="_x0000_s29732"/>
                </a:ext>
                <a:ext uri="{FF2B5EF4-FFF2-40B4-BE49-F238E27FC236}">
                  <a16:creationId xmlns:a16="http://schemas.microsoft.com/office/drawing/2014/main" id="{00000000-0008-0000-0200-00002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241</xdr:row>
          <xdr:rowOff>9525</xdr:rowOff>
        </xdr:from>
        <xdr:to>
          <xdr:col>4</xdr:col>
          <xdr:colOff>171450</xdr:colOff>
          <xdr:row>242</xdr:row>
          <xdr:rowOff>9525</xdr:rowOff>
        </xdr:to>
        <xdr:sp macro="" textlink="">
          <xdr:nvSpPr>
            <xdr:cNvPr id="29733" name="Figura 213" hidden="1">
              <a:extLst>
                <a:ext uri="{63B3BB69-23CF-44E3-9099-C40C66FF867C}">
                  <a14:compatExt spid="_x0000_s29733"/>
                </a:ext>
                <a:ext uri="{FF2B5EF4-FFF2-40B4-BE49-F238E27FC236}">
                  <a16:creationId xmlns:a16="http://schemas.microsoft.com/office/drawing/2014/main" id="{00000000-0008-0000-0200-00002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372</xdr:row>
          <xdr:rowOff>9525</xdr:rowOff>
        </xdr:from>
        <xdr:to>
          <xdr:col>3</xdr:col>
          <xdr:colOff>628650</xdr:colOff>
          <xdr:row>373</xdr:row>
          <xdr:rowOff>38100</xdr:rowOff>
        </xdr:to>
        <xdr:sp macro="" textlink="">
          <xdr:nvSpPr>
            <xdr:cNvPr id="29734" name="Figura 226" hidden="1">
              <a:extLst>
                <a:ext uri="{63B3BB69-23CF-44E3-9099-C40C66FF867C}">
                  <a14:compatExt spid="_x0000_s29734"/>
                </a:ext>
                <a:ext uri="{FF2B5EF4-FFF2-40B4-BE49-F238E27FC236}">
                  <a16:creationId xmlns:a16="http://schemas.microsoft.com/office/drawing/2014/main" id="{00000000-0008-0000-0200-00002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365</xdr:row>
          <xdr:rowOff>47625</xdr:rowOff>
        </xdr:from>
        <xdr:to>
          <xdr:col>2</xdr:col>
          <xdr:colOff>600075</xdr:colOff>
          <xdr:row>366</xdr:row>
          <xdr:rowOff>57150</xdr:rowOff>
        </xdr:to>
        <xdr:sp macro="" textlink="">
          <xdr:nvSpPr>
            <xdr:cNvPr id="29735" name="Figura 233" hidden="1">
              <a:extLst>
                <a:ext uri="{63B3BB69-23CF-44E3-9099-C40C66FF867C}">
                  <a14:compatExt spid="_x0000_s29735"/>
                </a:ext>
                <a:ext uri="{FF2B5EF4-FFF2-40B4-BE49-F238E27FC236}">
                  <a16:creationId xmlns:a16="http://schemas.microsoft.com/office/drawing/2014/main" id="{00000000-0008-0000-0200-00002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335</xdr:row>
          <xdr:rowOff>47625</xdr:rowOff>
        </xdr:from>
        <xdr:to>
          <xdr:col>5</xdr:col>
          <xdr:colOff>590550</xdr:colOff>
          <xdr:row>337</xdr:row>
          <xdr:rowOff>114300</xdr:rowOff>
        </xdr:to>
        <xdr:sp macro="" textlink="">
          <xdr:nvSpPr>
            <xdr:cNvPr id="29736" name="Figura 235" hidden="1">
              <a:extLst>
                <a:ext uri="{63B3BB69-23CF-44E3-9099-C40C66FF867C}">
                  <a14:compatExt spid="_x0000_s29736"/>
                </a:ext>
                <a:ext uri="{FF2B5EF4-FFF2-40B4-BE49-F238E27FC236}">
                  <a16:creationId xmlns:a16="http://schemas.microsoft.com/office/drawing/2014/main" id="{00000000-0008-0000-0200-00002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358</xdr:row>
          <xdr:rowOff>114300</xdr:rowOff>
        </xdr:from>
        <xdr:to>
          <xdr:col>3</xdr:col>
          <xdr:colOff>314325</xdr:colOff>
          <xdr:row>360</xdr:row>
          <xdr:rowOff>104775</xdr:rowOff>
        </xdr:to>
        <xdr:sp macro="" textlink="">
          <xdr:nvSpPr>
            <xdr:cNvPr id="29737" name="Figura 237" hidden="1">
              <a:extLst>
                <a:ext uri="{63B3BB69-23CF-44E3-9099-C40C66FF867C}">
                  <a14:compatExt spid="_x0000_s29737"/>
                </a:ext>
                <a:ext uri="{FF2B5EF4-FFF2-40B4-BE49-F238E27FC236}">
                  <a16:creationId xmlns:a16="http://schemas.microsoft.com/office/drawing/2014/main" id="{00000000-0008-0000-0200-00002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469</xdr:row>
          <xdr:rowOff>0</xdr:rowOff>
        </xdr:from>
        <xdr:to>
          <xdr:col>8</xdr:col>
          <xdr:colOff>695325</xdr:colOff>
          <xdr:row>470</xdr:row>
          <xdr:rowOff>28575</xdr:rowOff>
        </xdr:to>
        <xdr:sp macro="" textlink="">
          <xdr:nvSpPr>
            <xdr:cNvPr id="29738" name="Figura 239" hidden="1">
              <a:extLst>
                <a:ext uri="{63B3BB69-23CF-44E3-9099-C40C66FF867C}">
                  <a14:compatExt spid="_x0000_s29738"/>
                </a:ext>
                <a:ext uri="{FF2B5EF4-FFF2-40B4-BE49-F238E27FC236}">
                  <a16:creationId xmlns:a16="http://schemas.microsoft.com/office/drawing/2014/main" id="{00000000-0008-0000-0200-00002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356</xdr:row>
          <xdr:rowOff>38100</xdr:rowOff>
        </xdr:from>
        <xdr:to>
          <xdr:col>8</xdr:col>
          <xdr:colOff>57150</xdr:colOff>
          <xdr:row>357</xdr:row>
          <xdr:rowOff>28575</xdr:rowOff>
        </xdr:to>
        <xdr:sp macro="" textlink="">
          <xdr:nvSpPr>
            <xdr:cNvPr id="29739" name="Figura 242" hidden="1">
              <a:extLst>
                <a:ext uri="{63B3BB69-23CF-44E3-9099-C40C66FF867C}">
                  <a14:compatExt spid="_x0000_s29739"/>
                </a:ext>
                <a:ext uri="{FF2B5EF4-FFF2-40B4-BE49-F238E27FC236}">
                  <a16:creationId xmlns:a16="http://schemas.microsoft.com/office/drawing/2014/main" id="{00000000-0008-0000-0200-00002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168</xdr:row>
          <xdr:rowOff>38100</xdr:rowOff>
        </xdr:from>
        <xdr:to>
          <xdr:col>2</xdr:col>
          <xdr:colOff>409575</xdr:colOff>
          <xdr:row>169</xdr:row>
          <xdr:rowOff>38100</xdr:rowOff>
        </xdr:to>
        <xdr:sp macro="" textlink="">
          <xdr:nvSpPr>
            <xdr:cNvPr id="29740" name="Figura 247" hidden="1">
              <a:extLst>
                <a:ext uri="{63B3BB69-23CF-44E3-9099-C40C66FF867C}">
                  <a14:compatExt spid="_x0000_s29740"/>
                </a:ext>
                <a:ext uri="{FF2B5EF4-FFF2-40B4-BE49-F238E27FC236}">
                  <a16:creationId xmlns:a16="http://schemas.microsoft.com/office/drawing/2014/main" id="{00000000-0008-0000-0200-00002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174</xdr:row>
          <xdr:rowOff>38100</xdr:rowOff>
        </xdr:from>
        <xdr:to>
          <xdr:col>2</xdr:col>
          <xdr:colOff>390525</xdr:colOff>
          <xdr:row>175</xdr:row>
          <xdr:rowOff>38100</xdr:rowOff>
        </xdr:to>
        <xdr:sp macro="" textlink="">
          <xdr:nvSpPr>
            <xdr:cNvPr id="29741" name="Figura 248" hidden="1">
              <a:extLst>
                <a:ext uri="{63B3BB69-23CF-44E3-9099-C40C66FF867C}">
                  <a14:compatExt spid="_x0000_s29741"/>
                </a:ext>
                <a:ext uri="{FF2B5EF4-FFF2-40B4-BE49-F238E27FC236}">
                  <a16:creationId xmlns:a16="http://schemas.microsoft.com/office/drawing/2014/main" id="{00000000-0008-0000-0200-00002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360</xdr:row>
          <xdr:rowOff>133350</xdr:rowOff>
        </xdr:from>
        <xdr:to>
          <xdr:col>3</xdr:col>
          <xdr:colOff>771525</xdr:colOff>
          <xdr:row>362</xdr:row>
          <xdr:rowOff>85725</xdr:rowOff>
        </xdr:to>
        <xdr:sp macro="" textlink="">
          <xdr:nvSpPr>
            <xdr:cNvPr id="29742" name="Figura 263" hidden="1">
              <a:extLst>
                <a:ext uri="{63B3BB69-23CF-44E3-9099-C40C66FF867C}">
                  <a14:compatExt spid="_x0000_s29742"/>
                </a:ext>
                <a:ext uri="{FF2B5EF4-FFF2-40B4-BE49-F238E27FC236}">
                  <a16:creationId xmlns:a16="http://schemas.microsoft.com/office/drawing/2014/main" id="{00000000-0008-0000-0200-00002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457200</xdr:colOff>
          <xdr:row>444</xdr:row>
          <xdr:rowOff>76200</xdr:rowOff>
        </xdr:from>
        <xdr:to>
          <xdr:col>3</xdr:col>
          <xdr:colOff>238125</xdr:colOff>
          <xdr:row>445</xdr:row>
          <xdr:rowOff>104775</xdr:rowOff>
        </xdr:to>
        <xdr:sp macro="" textlink="">
          <xdr:nvSpPr>
            <xdr:cNvPr id="29743" name="Figura 267" hidden="1">
              <a:extLst>
                <a:ext uri="{63B3BB69-23CF-44E3-9099-C40C66FF867C}">
                  <a14:compatExt spid="_x0000_s29743"/>
                </a:ext>
                <a:ext uri="{FF2B5EF4-FFF2-40B4-BE49-F238E27FC236}">
                  <a16:creationId xmlns:a16="http://schemas.microsoft.com/office/drawing/2014/main" id="{00000000-0008-0000-0200-00002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445</xdr:row>
          <xdr:rowOff>133350</xdr:rowOff>
        </xdr:from>
        <xdr:to>
          <xdr:col>2</xdr:col>
          <xdr:colOff>409575</xdr:colOff>
          <xdr:row>447</xdr:row>
          <xdr:rowOff>123825</xdr:rowOff>
        </xdr:to>
        <xdr:sp macro="" textlink="">
          <xdr:nvSpPr>
            <xdr:cNvPr id="29744" name="Figura 268" hidden="1">
              <a:extLst>
                <a:ext uri="{63B3BB69-23CF-44E3-9099-C40C66FF867C}">
                  <a14:compatExt spid="_x0000_s29744"/>
                </a:ext>
                <a:ext uri="{FF2B5EF4-FFF2-40B4-BE49-F238E27FC236}">
                  <a16:creationId xmlns:a16="http://schemas.microsoft.com/office/drawing/2014/main" id="{00000000-0008-0000-0200-00003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195</xdr:row>
          <xdr:rowOff>38100</xdr:rowOff>
        </xdr:from>
        <xdr:to>
          <xdr:col>2</xdr:col>
          <xdr:colOff>247650</xdr:colOff>
          <xdr:row>196</xdr:row>
          <xdr:rowOff>38100</xdr:rowOff>
        </xdr:to>
        <xdr:sp macro="" textlink="">
          <xdr:nvSpPr>
            <xdr:cNvPr id="29745" name="Figura 271" hidden="1">
              <a:extLst>
                <a:ext uri="{63B3BB69-23CF-44E3-9099-C40C66FF867C}">
                  <a14:compatExt spid="_x0000_s29745"/>
                </a:ext>
                <a:ext uri="{FF2B5EF4-FFF2-40B4-BE49-F238E27FC236}">
                  <a16:creationId xmlns:a16="http://schemas.microsoft.com/office/drawing/2014/main" id="{00000000-0008-0000-0200-00003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207</xdr:row>
          <xdr:rowOff>0</xdr:rowOff>
        </xdr:from>
        <xdr:to>
          <xdr:col>5</xdr:col>
          <xdr:colOff>352425</xdr:colOff>
          <xdr:row>208</xdr:row>
          <xdr:rowOff>38100</xdr:rowOff>
        </xdr:to>
        <xdr:sp macro="" textlink="">
          <xdr:nvSpPr>
            <xdr:cNvPr id="29746" name="Figura 272" hidden="1">
              <a:extLst>
                <a:ext uri="{63B3BB69-23CF-44E3-9099-C40C66FF867C}">
                  <a14:compatExt spid="_x0000_s29746"/>
                </a:ext>
                <a:ext uri="{FF2B5EF4-FFF2-40B4-BE49-F238E27FC236}">
                  <a16:creationId xmlns:a16="http://schemas.microsoft.com/office/drawing/2014/main" id="{00000000-0008-0000-0200-00003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210</xdr:row>
          <xdr:rowOff>0</xdr:rowOff>
        </xdr:from>
        <xdr:to>
          <xdr:col>4</xdr:col>
          <xdr:colOff>257175</xdr:colOff>
          <xdr:row>211</xdr:row>
          <xdr:rowOff>38100</xdr:rowOff>
        </xdr:to>
        <xdr:sp macro="" textlink="">
          <xdr:nvSpPr>
            <xdr:cNvPr id="29747" name="Figura 273" hidden="1">
              <a:extLst>
                <a:ext uri="{63B3BB69-23CF-44E3-9099-C40C66FF867C}">
                  <a14:compatExt spid="_x0000_s29747"/>
                </a:ext>
                <a:ext uri="{FF2B5EF4-FFF2-40B4-BE49-F238E27FC236}">
                  <a16:creationId xmlns:a16="http://schemas.microsoft.com/office/drawing/2014/main" id="{00000000-0008-0000-0200-00003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214</xdr:row>
          <xdr:rowOff>19050</xdr:rowOff>
        </xdr:from>
        <xdr:to>
          <xdr:col>2</xdr:col>
          <xdr:colOff>647700</xdr:colOff>
          <xdr:row>215</xdr:row>
          <xdr:rowOff>28575</xdr:rowOff>
        </xdr:to>
        <xdr:sp macro="" textlink="">
          <xdr:nvSpPr>
            <xdr:cNvPr id="29748" name="Figura 274" hidden="1">
              <a:extLst>
                <a:ext uri="{63B3BB69-23CF-44E3-9099-C40C66FF867C}">
                  <a14:compatExt spid="_x0000_s29748"/>
                </a:ext>
                <a:ext uri="{FF2B5EF4-FFF2-40B4-BE49-F238E27FC236}">
                  <a16:creationId xmlns:a16="http://schemas.microsoft.com/office/drawing/2014/main" id="{00000000-0008-0000-0200-00003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542925</xdr:colOff>
          <xdr:row>217</xdr:row>
          <xdr:rowOff>9525</xdr:rowOff>
        </xdr:from>
        <xdr:to>
          <xdr:col>5</xdr:col>
          <xdr:colOff>209550</xdr:colOff>
          <xdr:row>218</xdr:row>
          <xdr:rowOff>47625</xdr:rowOff>
        </xdr:to>
        <xdr:sp macro="" textlink="">
          <xdr:nvSpPr>
            <xdr:cNvPr id="29749" name="Figura 276" hidden="1">
              <a:extLst>
                <a:ext uri="{63B3BB69-23CF-44E3-9099-C40C66FF867C}">
                  <a14:compatExt spid="_x0000_s29749"/>
                </a:ext>
                <a:ext uri="{FF2B5EF4-FFF2-40B4-BE49-F238E27FC236}">
                  <a16:creationId xmlns:a16="http://schemas.microsoft.com/office/drawing/2014/main" id="{00000000-0008-0000-0200-00003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218</xdr:row>
          <xdr:rowOff>85725</xdr:rowOff>
        </xdr:from>
        <xdr:to>
          <xdr:col>4</xdr:col>
          <xdr:colOff>552450</xdr:colOff>
          <xdr:row>220</xdr:row>
          <xdr:rowOff>76200</xdr:rowOff>
        </xdr:to>
        <xdr:sp macro="" textlink="">
          <xdr:nvSpPr>
            <xdr:cNvPr id="29750" name="Figura 277" hidden="1">
              <a:extLst>
                <a:ext uri="{63B3BB69-23CF-44E3-9099-C40C66FF867C}">
                  <a14:compatExt spid="_x0000_s29750"/>
                </a:ext>
                <a:ext uri="{FF2B5EF4-FFF2-40B4-BE49-F238E27FC236}">
                  <a16:creationId xmlns:a16="http://schemas.microsoft.com/office/drawing/2014/main" id="{00000000-0008-0000-0200-00003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226</xdr:row>
          <xdr:rowOff>19050</xdr:rowOff>
        </xdr:from>
        <xdr:to>
          <xdr:col>3</xdr:col>
          <xdr:colOff>333375</xdr:colOff>
          <xdr:row>227</xdr:row>
          <xdr:rowOff>19050</xdr:rowOff>
        </xdr:to>
        <xdr:sp macro="" textlink="">
          <xdr:nvSpPr>
            <xdr:cNvPr id="29751" name="Figura 278" hidden="1">
              <a:extLst>
                <a:ext uri="{63B3BB69-23CF-44E3-9099-C40C66FF867C}">
                  <a14:compatExt spid="_x0000_s29751"/>
                </a:ext>
                <a:ext uri="{FF2B5EF4-FFF2-40B4-BE49-F238E27FC236}">
                  <a16:creationId xmlns:a16="http://schemas.microsoft.com/office/drawing/2014/main" id="{00000000-0008-0000-0200-00003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229</xdr:row>
          <xdr:rowOff>114300</xdr:rowOff>
        </xdr:from>
        <xdr:to>
          <xdr:col>2</xdr:col>
          <xdr:colOff>381000</xdr:colOff>
          <xdr:row>231</xdr:row>
          <xdr:rowOff>66675</xdr:rowOff>
        </xdr:to>
        <xdr:sp macro="" textlink="">
          <xdr:nvSpPr>
            <xdr:cNvPr id="29752" name="Figura 279" hidden="1">
              <a:extLst>
                <a:ext uri="{63B3BB69-23CF-44E3-9099-C40C66FF867C}">
                  <a14:compatExt spid="_x0000_s29752"/>
                </a:ext>
                <a:ext uri="{FF2B5EF4-FFF2-40B4-BE49-F238E27FC236}">
                  <a16:creationId xmlns:a16="http://schemas.microsoft.com/office/drawing/2014/main" id="{00000000-0008-0000-0200-00003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232</xdr:row>
          <xdr:rowOff>114300</xdr:rowOff>
        </xdr:from>
        <xdr:to>
          <xdr:col>4</xdr:col>
          <xdr:colOff>200025</xdr:colOff>
          <xdr:row>234</xdr:row>
          <xdr:rowOff>123825</xdr:rowOff>
        </xdr:to>
        <xdr:sp macro="" textlink="">
          <xdr:nvSpPr>
            <xdr:cNvPr id="29753" name="Figura 280" hidden="1">
              <a:extLst>
                <a:ext uri="{63B3BB69-23CF-44E3-9099-C40C66FF867C}">
                  <a14:compatExt spid="_x0000_s29753"/>
                </a:ext>
                <a:ext uri="{FF2B5EF4-FFF2-40B4-BE49-F238E27FC236}">
                  <a16:creationId xmlns:a16="http://schemas.microsoft.com/office/drawing/2014/main" id="{00000000-0008-0000-0200-00003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280</xdr:row>
          <xdr:rowOff>171450</xdr:rowOff>
        </xdr:from>
        <xdr:to>
          <xdr:col>3</xdr:col>
          <xdr:colOff>857250</xdr:colOff>
          <xdr:row>282</xdr:row>
          <xdr:rowOff>19050</xdr:rowOff>
        </xdr:to>
        <xdr:sp macro="" textlink="">
          <xdr:nvSpPr>
            <xdr:cNvPr id="29754" name="Figura 215" hidden="1">
              <a:extLst>
                <a:ext uri="{63B3BB69-23CF-44E3-9099-C40C66FF867C}">
                  <a14:compatExt spid="_x0000_s29754"/>
                </a:ext>
                <a:ext uri="{FF2B5EF4-FFF2-40B4-BE49-F238E27FC236}">
                  <a16:creationId xmlns:a16="http://schemas.microsoft.com/office/drawing/2014/main" id="{00000000-0008-0000-0200-00003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609600</xdr:colOff>
          <xdr:row>300</xdr:row>
          <xdr:rowOff>19050</xdr:rowOff>
        </xdr:from>
        <xdr:to>
          <xdr:col>3</xdr:col>
          <xdr:colOff>857250</xdr:colOff>
          <xdr:row>301</xdr:row>
          <xdr:rowOff>85725</xdr:rowOff>
        </xdr:to>
        <xdr:sp macro="" textlink="">
          <xdr:nvSpPr>
            <xdr:cNvPr id="29755" name="Figura 217" hidden="1">
              <a:extLst>
                <a:ext uri="{63B3BB69-23CF-44E3-9099-C40C66FF867C}">
                  <a14:compatExt spid="_x0000_s29755"/>
                </a:ext>
                <a:ext uri="{FF2B5EF4-FFF2-40B4-BE49-F238E27FC236}">
                  <a16:creationId xmlns:a16="http://schemas.microsoft.com/office/drawing/2014/main" id="{00000000-0008-0000-0200-00003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356</xdr:row>
          <xdr:rowOff>19050</xdr:rowOff>
        </xdr:from>
        <xdr:to>
          <xdr:col>3</xdr:col>
          <xdr:colOff>542925</xdr:colOff>
          <xdr:row>357</xdr:row>
          <xdr:rowOff>28575</xdr:rowOff>
        </xdr:to>
        <xdr:sp macro="" textlink="">
          <xdr:nvSpPr>
            <xdr:cNvPr id="29756" name="Objeto 60" hidden="1">
              <a:extLst>
                <a:ext uri="{63B3BB69-23CF-44E3-9099-C40C66FF867C}">
                  <a14:compatExt spid="_x0000_s29756"/>
                </a:ext>
                <a:ext uri="{FF2B5EF4-FFF2-40B4-BE49-F238E27FC236}">
                  <a16:creationId xmlns:a16="http://schemas.microsoft.com/office/drawing/2014/main" id="{00000000-0008-0000-0200-00003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402</xdr:row>
          <xdr:rowOff>123825</xdr:rowOff>
        </xdr:from>
        <xdr:to>
          <xdr:col>3</xdr:col>
          <xdr:colOff>85725</xdr:colOff>
          <xdr:row>404</xdr:row>
          <xdr:rowOff>95250</xdr:rowOff>
        </xdr:to>
        <xdr:sp macro="" textlink="">
          <xdr:nvSpPr>
            <xdr:cNvPr id="29757" name="Figura 179" hidden="1">
              <a:extLst>
                <a:ext uri="{63B3BB69-23CF-44E3-9099-C40C66FF867C}">
                  <a14:compatExt spid="_x0000_s29757"/>
                </a:ext>
                <a:ext uri="{FF2B5EF4-FFF2-40B4-BE49-F238E27FC236}">
                  <a16:creationId xmlns:a16="http://schemas.microsoft.com/office/drawing/2014/main" id="{00000000-0008-0000-0200-00003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404</xdr:row>
          <xdr:rowOff>114300</xdr:rowOff>
        </xdr:from>
        <xdr:to>
          <xdr:col>3</xdr:col>
          <xdr:colOff>152400</xdr:colOff>
          <xdr:row>406</xdr:row>
          <xdr:rowOff>114300</xdr:rowOff>
        </xdr:to>
        <xdr:sp macro="" textlink="">
          <xdr:nvSpPr>
            <xdr:cNvPr id="29758" name="Figura 244" hidden="1">
              <a:extLst>
                <a:ext uri="{63B3BB69-23CF-44E3-9099-C40C66FF867C}">
                  <a14:compatExt spid="_x0000_s29758"/>
                </a:ext>
                <a:ext uri="{FF2B5EF4-FFF2-40B4-BE49-F238E27FC236}">
                  <a16:creationId xmlns:a16="http://schemas.microsoft.com/office/drawing/2014/main" id="{00000000-0008-0000-0200-00003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628650</xdr:colOff>
          <xdr:row>326</xdr:row>
          <xdr:rowOff>123825</xdr:rowOff>
        </xdr:from>
        <xdr:to>
          <xdr:col>3</xdr:col>
          <xdr:colOff>142875</xdr:colOff>
          <xdr:row>328</xdr:row>
          <xdr:rowOff>104775</xdr:rowOff>
        </xdr:to>
        <xdr:sp macro="" textlink="">
          <xdr:nvSpPr>
            <xdr:cNvPr id="29759" name="Figura 176" hidden="1">
              <a:extLst>
                <a:ext uri="{63B3BB69-23CF-44E3-9099-C40C66FF867C}">
                  <a14:compatExt spid="_x0000_s29759"/>
                </a:ext>
                <a:ext uri="{FF2B5EF4-FFF2-40B4-BE49-F238E27FC236}">
                  <a16:creationId xmlns:a16="http://schemas.microsoft.com/office/drawing/2014/main" id="{00000000-0008-0000-0200-00003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323</xdr:row>
          <xdr:rowOff>28575</xdr:rowOff>
        </xdr:from>
        <xdr:to>
          <xdr:col>8</xdr:col>
          <xdr:colOff>762000</xdr:colOff>
          <xdr:row>324</xdr:row>
          <xdr:rowOff>66675</xdr:rowOff>
        </xdr:to>
        <xdr:sp macro="" textlink="">
          <xdr:nvSpPr>
            <xdr:cNvPr id="29760" name="Objeto 64" hidden="1">
              <a:extLst>
                <a:ext uri="{63B3BB69-23CF-44E3-9099-C40C66FF867C}">
                  <a14:compatExt spid="_x0000_s29760"/>
                </a:ext>
                <a:ext uri="{FF2B5EF4-FFF2-40B4-BE49-F238E27FC236}">
                  <a16:creationId xmlns:a16="http://schemas.microsoft.com/office/drawing/2014/main" id="{00000000-0008-0000-0200-00004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440</xdr:row>
          <xdr:rowOff>180975</xdr:rowOff>
        </xdr:from>
        <xdr:to>
          <xdr:col>7</xdr:col>
          <xdr:colOff>904875</xdr:colOff>
          <xdr:row>442</xdr:row>
          <xdr:rowOff>19050</xdr:rowOff>
        </xdr:to>
        <xdr:sp macro="" textlink="">
          <xdr:nvSpPr>
            <xdr:cNvPr id="29761" name="Figura 210" hidden="1">
              <a:extLst>
                <a:ext uri="{63B3BB69-23CF-44E3-9099-C40C66FF867C}">
                  <a14:compatExt spid="_x0000_s29761"/>
                </a:ext>
                <a:ext uri="{FF2B5EF4-FFF2-40B4-BE49-F238E27FC236}">
                  <a16:creationId xmlns:a16="http://schemas.microsoft.com/office/drawing/2014/main" id="{00000000-0008-0000-0200-00004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12</xdr:col>
      <xdr:colOff>647700</xdr:colOff>
      <xdr:row>170</xdr:row>
      <xdr:rowOff>123825</xdr:rowOff>
    </xdr:from>
    <xdr:to>
      <xdr:col>12</xdr:col>
      <xdr:colOff>647700</xdr:colOff>
      <xdr:row>175</xdr:row>
      <xdr:rowOff>19050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11239500" y="32861250"/>
          <a:ext cx="0" cy="8477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581025</xdr:colOff>
      <xdr:row>172</xdr:row>
      <xdr:rowOff>66675</xdr:rowOff>
    </xdr:from>
    <xdr:to>
      <xdr:col>13</xdr:col>
      <xdr:colOff>276225</xdr:colOff>
      <xdr:row>173</xdr:row>
      <xdr:rowOff>133350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1172825" y="33185100"/>
          <a:ext cx="4572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B1cf</a:t>
          </a:r>
        </a:p>
      </xdr:txBody>
    </xdr:sp>
    <xdr:clientData/>
  </xdr:twoCellAnchor>
  <xdr:twoCellAnchor>
    <xdr:from>
      <xdr:col>9</xdr:col>
      <xdr:colOff>466725</xdr:colOff>
      <xdr:row>161</xdr:row>
      <xdr:rowOff>180975</xdr:rowOff>
    </xdr:from>
    <xdr:to>
      <xdr:col>9</xdr:col>
      <xdr:colOff>466725</xdr:colOff>
      <xdr:row>163</xdr:row>
      <xdr:rowOff>19050</xdr:rowOff>
    </xdr:to>
    <xdr:cxnSp macro="">
      <xdr:nvCxnSpPr>
        <xdr:cNvPr id="9" name="Conector de Seta Reta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>
          <a:off x="8458200" y="31203900"/>
          <a:ext cx="0" cy="2190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466725</xdr:colOff>
      <xdr:row>166</xdr:row>
      <xdr:rowOff>66675</xdr:rowOff>
    </xdr:from>
    <xdr:to>
      <xdr:col>9</xdr:col>
      <xdr:colOff>466725</xdr:colOff>
      <xdr:row>168</xdr:row>
      <xdr:rowOff>9525</xdr:rowOff>
    </xdr:to>
    <xdr:cxnSp macro="">
      <xdr:nvCxnSpPr>
        <xdr:cNvPr id="90" name="Conector de Seta Reta 89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CxnSpPr/>
      </xdr:nvCxnSpPr>
      <xdr:spPr>
        <a:xfrm>
          <a:off x="8458200" y="32042100"/>
          <a:ext cx="0" cy="3238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238125</xdr:colOff>
      <xdr:row>161</xdr:row>
      <xdr:rowOff>142875</xdr:rowOff>
    </xdr:from>
    <xdr:to>
      <xdr:col>9</xdr:col>
      <xdr:colOff>504825</xdr:colOff>
      <xdr:row>163</xdr:row>
      <xdr:rowOff>19050</xdr:rowOff>
    </xdr:to>
    <xdr:sp macro="" textlink="">
      <xdr:nvSpPr>
        <xdr:cNvPr id="94" name="CaixaDeTexto 93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 txBox="1"/>
      </xdr:nvSpPr>
      <xdr:spPr>
        <a:xfrm>
          <a:off x="8229600" y="3116580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3</a:t>
          </a:r>
        </a:p>
      </xdr:txBody>
    </xdr:sp>
    <xdr:clientData/>
  </xdr:twoCellAnchor>
  <xdr:twoCellAnchor>
    <xdr:from>
      <xdr:col>9</xdr:col>
      <xdr:colOff>257175</xdr:colOff>
      <xdr:row>166</xdr:row>
      <xdr:rowOff>104775</xdr:rowOff>
    </xdr:from>
    <xdr:to>
      <xdr:col>9</xdr:col>
      <xdr:colOff>523875</xdr:colOff>
      <xdr:row>167</xdr:row>
      <xdr:rowOff>171450</xdr:rowOff>
    </xdr:to>
    <xdr:sp macro="" textlink="">
      <xdr:nvSpPr>
        <xdr:cNvPr id="96" name="CaixaDeTexto 95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 txBox="1"/>
      </xdr:nvSpPr>
      <xdr:spPr>
        <a:xfrm>
          <a:off x="8248650" y="3208020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4</a:t>
          </a:r>
        </a:p>
      </xdr:txBody>
    </xdr:sp>
    <xdr:clientData/>
  </xdr:twoCellAnchor>
  <xdr:twoCellAnchor>
    <xdr:from>
      <xdr:col>8</xdr:col>
      <xdr:colOff>619125</xdr:colOff>
      <xdr:row>165</xdr:row>
      <xdr:rowOff>9525</xdr:rowOff>
    </xdr:from>
    <xdr:to>
      <xdr:col>8</xdr:col>
      <xdr:colOff>885825</xdr:colOff>
      <xdr:row>166</xdr:row>
      <xdr:rowOff>76200</xdr:rowOff>
    </xdr:to>
    <xdr:sp macro="" textlink="">
      <xdr:nvSpPr>
        <xdr:cNvPr id="97" name="CaixaDeTexto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 txBox="1"/>
      </xdr:nvSpPr>
      <xdr:spPr>
        <a:xfrm>
          <a:off x="7667625" y="3160395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A</a:t>
          </a:r>
        </a:p>
      </xdr:txBody>
    </xdr:sp>
    <xdr:clientData/>
  </xdr:twoCellAnchor>
  <xdr:twoCellAnchor>
    <xdr:from>
      <xdr:col>9</xdr:col>
      <xdr:colOff>714375</xdr:colOff>
      <xdr:row>166</xdr:row>
      <xdr:rowOff>123825</xdr:rowOff>
    </xdr:from>
    <xdr:to>
      <xdr:col>9</xdr:col>
      <xdr:colOff>981075</xdr:colOff>
      <xdr:row>168</xdr:row>
      <xdr:rowOff>0</xdr:rowOff>
    </xdr:to>
    <xdr:sp macro="" textlink="">
      <xdr:nvSpPr>
        <xdr:cNvPr id="98" name="CaixaDeTexto 97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 txBox="1"/>
      </xdr:nvSpPr>
      <xdr:spPr>
        <a:xfrm>
          <a:off x="8705850" y="32099250"/>
          <a:ext cx="266700" cy="2571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L</a:t>
          </a:r>
        </a:p>
      </xdr:txBody>
    </xdr:sp>
    <xdr:clientData/>
  </xdr:twoCellAnchor>
  <xdr:twoCellAnchor>
    <xdr:from>
      <xdr:col>12</xdr:col>
      <xdr:colOff>466725</xdr:colOff>
      <xdr:row>164</xdr:row>
      <xdr:rowOff>19050</xdr:rowOff>
    </xdr:from>
    <xdr:to>
      <xdr:col>12</xdr:col>
      <xdr:colOff>733425</xdr:colOff>
      <xdr:row>165</xdr:row>
      <xdr:rowOff>85725</xdr:rowOff>
    </xdr:to>
    <xdr:sp macro="" textlink="">
      <xdr:nvSpPr>
        <xdr:cNvPr id="99" name="CaixaDeTexto 98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 txBox="1"/>
      </xdr:nvSpPr>
      <xdr:spPr>
        <a:xfrm>
          <a:off x="11058525" y="31613475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R</a:t>
          </a:r>
        </a:p>
      </xdr:txBody>
    </xdr:sp>
    <xdr:clientData/>
  </xdr:twoCellAnchor>
  <xdr:twoCellAnchor>
    <xdr:from>
      <xdr:col>10</xdr:col>
      <xdr:colOff>123825</xdr:colOff>
      <xdr:row>161</xdr:row>
      <xdr:rowOff>180975</xdr:rowOff>
    </xdr:from>
    <xdr:to>
      <xdr:col>10</xdr:col>
      <xdr:colOff>123825</xdr:colOff>
      <xdr:row>167</xdr:row>
      <xdr:rowOff>114300</xdr:rowOff>
    </xdr:to>
    <xdr:cxnSp macro="">
      <xdr:nvCxnSpPr>
        <xdr:cNvPr id="16" name="Conector ret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/>
      </xdr:nvCxnSpPr>
      <xdr:spPr>
        <a:xfrm>
          <a:off x="9163050" y="31203900"/>
          <a:ext cx="0" cy="10763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152400</xdr:colOff>
      <xdr:row>162</xdr:row>
      <xdr:rowOff>66675</xdr:rowOff>
    </xdr:from>
    <xdr:to>
      <xdr:col>12</xdr:col>
      <xdr:colOff>152400</xdr:colOff>
      <xdr:row>163</xdr:row>
      <xdr:rowOff>95250</xdr:rowOff>
    </xdr:to>
    <xdr:cxnSp macro="">
      <xdr:nvCxnSpPr>
        <xdr:cNvPr id="106" name="Conector de Seta Reta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CxnSpPr/>
      </xdr:nvCxnSpPr>
      <xdr:spPr>
        <a:xfrm>
          <a:off x="10744200" y="31280100"/>
          <a:ext cx="0" cy="2190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104775</xdr:colOff>
      <xdr:row>162</xdr:row>
      <xdr:rowOff>38100</xdr:rowOff>
    </xdr:from>
    <xdr:to>
      <xdr:col>12</xdr:col>
      <xdr:colOff>371475</xdr:colOff>
      <xdr:row>163</xdr:row>
      <xdr:rowOff>104775</xdr:rowOff>
    </xdr:to>
    <xdr:sp macro="" textlink="">
      <xdr:nvSpPr>
        <xdr:cNvPr id="107" name="CaixaDeTexto 106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 txBox="1"/>
      </xdr:nvSpPr>
      <xdr:spPr>
        <a:xfrm>
          <a:off x="10696575" y="31251525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2</a:t>
          </a:r>
        </a:p>
      </xdr:txBody>
    </xdr:sp>
    <xdr:clientData/>
  </xdr:twoCellAnchor>
  <xdr:twoCellAnchor>
    <xdr:from>
      <xdr:col>12</xdr:col>
      <xdr:colOff>152400</xdr:colOff>
      <xdr:row>166</xdr:row>
      <xdr:rowOff>0</xdr:rowOff>
    </xdr:from>
    <xdr:to>
      <xdr:col>12</xdr:col>
      <xdr:colOff>152400</xdr:colOff>
      <xdr:row>167</xdr:row>
      <xdr:rowOff>28575</xdr:rowOff>
    </xdr:to>
    <xdr:cxnSp macro="">
      <xdr:nvCxnSpPr>
        <xdr:cNvPr id="109" name="Conector de Seta Reta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CxnSpPr/>
      </xdr:nvCxnSpPr>
      <xdr:spPr>
        <a:xfrm>
          <a:off x="10744200" y="31975425"/>
          <a:ext cx="0" cy="2190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152400</xdr:colOff>
      <xdr:row>165</xdr:row>
      <xdr:rowOff>161925</xdr:rowOff>
    </xdr:from>
    <xdr:to>
      <xdr:col>12</xdr:col>
      <xdr:colOff>419100</xdr:colOff>
      <xdr:row>167</xdr:row>
      <xdr:rowOff>38100</xdr:rowOff>
    </xdr:to>
    <xdr:sp macro="" textlink="">
      <xdr:nvSpPr>
        <xdr:cNvPr id="110" name="CaixaDeTexto 109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 txBox="1"/>
      </xdr:nvSpPr>
      <xdr:spPr>
        <a:xfrm>
          <a:off x="10744200" y="3194685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3</a:t>
          </a:r>
        </a:p>
      </xdr:txBody>
    </xdr:sp>
    <xdr:clientData/>
  </xdr:twoCellAnchor>
  <xdr:twoCellAnchor>
    <xdr:from>
      <xdr:col>10</xdr:col>
      <xdr:colOff>771525</xdr:colOff>
      <xdr:row>166</xdr:row>
      <xdr:rowOff>123825</xdr:rowOff>
    </xdr:from>
    <xdr:to>
      <xdr:col>11</xdr:col>
      <xdr:colOff>247650</xdr:colOff>
      <xdr:row>168</xdr:row>
      <xdr:rowOff>0</xdr:rowOff>
    </xdr:to>
    <xdr:sp macro="" textlink="">
      <xdr:nvSpPr>
        <xdr:cNvPr id="111" name="CaixaDeTexto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 txBox="1"/>
      </xdr:nvSpPr>
      <xdr:spPr>
        <a:xfrm>
          <a:off x="9810750" y="32099250"/>
          <a:ext cx="266700" cy="2571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S</a:t>
          </a:r>
        </a:p>
      </xdr:txBody>
    </xdr:sp>
    <xdr:clientData/>
  </xdr:twoCellAnchor>
  <xdr:twoCellAnchor>
    <xdr:from>
      <xdr:col>9</xdr:col>
      <xdr:colOff>476249</xdr:colOff>
      <xdr:row>161</xdr:row>
      <xdr:rowOff>171450</xdr:rowOff>
    </xdr:from>
    <xdr:to>
      <xdr:col>9</xdr:col>
      <xdr:colOff>876300</xdr:colOff>
      <xdr:row>163</xdr:row>
      <xdr:rowOff>47625</xdr:rowOff>
    </xdr:to>
    <xdr:sp macro="" textlink="">
      <xdr:nvSpPr>
        <xdr:cNvPr id="114" name="CaixaDeTexto 113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 txBox="1"/>
      </xdr:nvSpPr>
      <xdr:spPr>
        <a:xfrm>
          <a:off x="8467724" y="31194375"/>
          <a:ext cx="400051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B050"/>
              </a:solidFill>
            </a:rPr>
            <a:t>L /2</a:t>
          </a:r>
        </a:p>
      </xdr:txBody>
    </xdr:sp>
    <xdr:clientData/>
  </xdr:twoCellAnchor>
  <xdr:twoCellAnchor>
    <xdr:from>
      <xdr:col>9</xdr:col>
      <xdr:colOff>514350</xdr:colOff>
      <xdr:row>163</xdr:row>
      <xdr:rowOff>9525</xdr:rowOff>
    </xdr:from>
    <xdr:to>
      <xdr:col>9</xdr:col>
      <xdr:colOff>838200</xdr:colOff>
      <xdr:row>166</xdr:row>
      <xdr:rowOff>76200</xdr:rowOff>
    </xdr:to>
    <xdr:sp macro="" textlink="">
      <xdr:nvSpPr>
        <xdr:cNvPr id="21" name="Retângulo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8505825" y="31413450"/>
          <a:ext cx="323850" cy="638175"/>
        </a:xfrm>
        <a:prstGeom prst="rect">
          <a:avLst/>
        </a:prstGeom>
        <a:solidFill>
          <a:srgbClr val="00B050">
            <a:alpha val="30000"/>
          </a:srgbClr>
        </a:solidFill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638175</xdr:colOff>
      <xdr:row>171</xdr:row>
      <xdr:rowOff>47625</xdr:rowOff>
    </xdr:from>
    <xdr:to>
      <xdr:col>9</xdr:col>
      <xdr:colOff>638175</xdr:colOff>
      <xdr:row>174</xdr:row>
      <xdr:rowOff>114300</xdr:rowOff>
    </xdr:to>
    <xdr:cxnSp macro="">
      <xdr:nvCxnSpPr>
        <xdr:cNvPr id="119" name="Conector de Seta Reta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CxnSpPr/>
      </xdr:nvCxnSpPr>
      <xdr:spPr>
        <a:xfrm>
          <a:off x="8629650" y="32975550"/>
          <a:ext cx="0" cy="6381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428625</xdr:colOff>
      <xdr:row>171</xdr:row>
      <xdr:rowOff>171450</xdr:rowOff>
    </xdr:from>
    <xdr:to>
      <xdr:col>9</xdr:col>
      <xdr:colOff>695325</xdr:colOff>
      <xdr:row>173</xdr:row>
      <xdr:rowOff>47625</xdr:rowOff>
    </xdr:to>
    <xdr:sp macro="" textlink="">
      <xdr:nvSpPr>
        <xdr:cNvPr id="121" name="CaixaDeTexto 12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 txBox="1"/>
      </xdr:nvSpPr>
      <xdr:spPr>
        <a:xfrm>
          <a:off x="8420100" y="33099375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B</a:t>
          </a:r>
        </a:p>
      </xdr:txBody>
    </xdr:sp>
    <xdr:clientData/>
  </xdr:twoCellAnchor>
  <xdr:twoCellAnchor>
    <xdr:from>
      <xdr:col>10</xdr:col>
      <xdr:colOff>476250</xdr:colOff>
      <xdr:row>172</xdr:row>
      <xdr:rowOff>76200</xdr:rowOff>
    </xdr:from>
    <xdr:to>
      <xdr:col>11</xdr:col>
      <xdr:colOff>47625</xdr:colOff>
      <xdr:row>173</xdr:row>
      <xdr:rowOff>142875</xdr:rowOff>
    </xdr:to>
    <xdr:sp macro="" textlink="">
      <xdr:nvSpPr>
        <xdr:cNvPr id="122" name="CaixaDeTexto 121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 txBox="1"/>
      </xdr:nvSpPr>
      <xdr:spPr>
        <a:xfrm>
          <a:off x="9515475" y="33194625"/>
          <a:ext cx="361950" cy="2571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Dk</a:t>
          </a:r>
        </a:p>
      </xdr:txBody>
    </xdr:sp>
    <xdr:clientData/>
  </xdr:twoCellAnchor>
  <xdr:twoCellAnchor>
    <xdr:from>
      <xdr:col>9</xdr:col>
      <xdr:colOff>838200</xdr:colOff>
      <xdr:row>163</xdr:row>
      <xdr:rowOff>3</xdr:rowOff>
    </xdr:from>
    <xdr:to>
      <xdr:col>10</xdr:col>
      <xdr:colOff>104774</xdr:colOff>
      <xdr:row>166</xdr:row>
      <xdr:rowOff>76204</xdr:rowOff>
    </xdr:to>
    <xdr:sp macro="" textlink="">
      <xdr:nvSpPr>
        <xdr:cNvPr id="24" name="Trapezoide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 rot="5400000">
          <a:off x="8662986" y="31570617"/>
          <a:ext cx="647701" cy="314324"/>
        </a:xfrm>
        <a:prstGeom prst="trapezoid">
          <a:avLst>
            <a:gd name="adj" fmla="val 50001"/>
          </a:avLst>
        </a:prstGeom>
        <a:solidFill>
          <a:srgbClr val="00B050">
            <a:alpha val="30000"/>
          </a:srgbClr>
        </a:solidFill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447675</xdr:colOff>
      <xdr:row>172</xdr:row>
      <xdr:rowOff>57150</xdr:rowOff>
    </xdr:from>
    <xdr:to>
      <xdr:col>10</xdr:col>
      <xdr:colOff>447675</xdr:colOff>
      <xdr:row>173</xdr:row>
      <xdr:rowOff>152400</xdr:rowOff>
    </xdr:to>
    <xdr:cxnSp macro="">
      <xdr:nvCxnSpPr>
        <xdr:cNvPr id="124" name="Conector de Seta Reta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CxnSpPr/>
      </xdr:nvCxnSpPr>
      <xdr:spPr>
        <a:xfrm>
          <a:off x="9486900" y="33175575"/>
          <a:ext cx="0" cy="2857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371475</xdr:colOff>
      <xdr:row>171</xdr:row>
      <xdr:rowOff>142875</xdr:rowOff>
    </xdr:from>
    <xdr:to>
      <xdr:col>11</xdr:col>
      <xdr:colOff>371475</xdr:colOff>
      <xdr:row>174</xdr:row>
      <xdr:rowOff>57150</xdr:rowOff>
    </xdr:to>
    <xdr:cxnSp macro="">
      <xdr:nvCxnSpPr>
        <xdr:cNvPr id="126" name="Conector de Seta Reta 125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CxnSpPr/>
      </xdr:nvCxnSpPr>
      <xdr:spPr>
        <a:xfrm>
          <a:off x="10201275" y="33070800"/>
          <a:ext cx="0" cy="4857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314325</xdr:colOff>
      <xdr:row>171</xdr:row>
      <xdr:rowOff>180975</xdr:rowOff>
    </xdr:from>
    <xdr:to>
      <xdr:col>11</xdr:col>
      <xdr:colOff>542925</xdr:colOff>
      <xdr:row>173</xdr:row>
      <xdr:rowOff>57150</xdr:rowOff>
    </xdr:to>
    <xdr:sp macro="" textlink="">
      <xdr:nvSpPr>
        <xdr:cNvPr id="128" name="CaixaDeTexto 127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 txBox="1"/>
      </xdr:nvSpPr>
      <xdr:spPr>
        <a:xfrm>
          <a:off x="10144125" y="33108900"/>
          <a:ext cx="2286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Q</a:t>
          </a:r>
        </a:p>
      </xdr:txBody>
    </xdr:sp>
    <xdr:clientData/>
  </xdr:twoCellAnchor>
  <xdr:twoCellAnchor>
    <xdr:from>
      <xdr:col>12</xdr:col>
      <xdr:colOff>38100</xdr:colOff>
      <xdr:row>171</xdr:row>
      <xdr:rowOff>76200</xdr:rowOff>
    </xdr:from>
    <xdr:to>
      <xdr:col>12</xdr:col>
      <xdr:colOff>38100</xdr:colOff>
      <xdr:row>174</xdr:row>
      <xdr:rowOff>123825</xdr:rowOff>
    </xdr:to>
    <xdr:cxnSp macro="">
      <xdr:nvCxnSpPr>
        <xdr:cNvPr id="129" name="Conector de Seta Reta 128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CxnSpPr/>
      </xdr:nvCxnSpPr>
      <xdr:spPr>
        <a:xfrm>
          <a:off x="10629900" y="33004125"/>
          <a:ext cx="0" cy="6191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171</xdr:row>
      <xdr:rowOff>152400</xdr:rowOff>
    </xdr:from>
    <xdr:to>
      <xdr:col>12</xdr:col>
      <xdr:colOff>238125</xdr:colOff>
      <xdr:row>173</xdr:row>
      <xdr:rowOff>28575</xdr:rowOff>
    </xdr:to>
    <xdr:sp macro="" textlink="">
      <xdr:nvSpPr>
        <xdr:cNvPr id="130" name="CaixaDeTexto 129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 txBox="1"/>
      </xdr:nvSpPr>
      <xdr:spPr>
        <a:xfrm>
          <a:off x="10601325" y="33080325"/>
          <a:ext cx="2286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X</a:t>
          </a:r>
        </a:p>
      </xdr:txBody>
    </xdr:sp>
    <xdr:clientData/>
  </xdr:twoCellAnchor>
  <xdr:twoCellAnchor>
    <xdr:from>
      <xdr:col>10</xdr:col>
      <xdr:colOff>104777</xdr:colOff>
      <xdr:row>163</xdr:row>
      <xdr:rowOff>76203</xdr:rowOff>
    </xdr:from>
    <xdr:to>
      <xdr:col>11</xdr:col>
      <xdr:colOff>228604</xdr:colOff>
      <xdr:row>165</xdr:row>
      <xdr:rowOff>180978</xdr:rowOff>
    </xdr:to>
    <xdr:sp macro="" textlink="">
      <xdr:nvSpPr>
        <xdr:cNvPr id="132" name="Trapezoide 131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/>
      </xdr:nvSpPr>
      <xdr:spPr>
        <a:xfrm rot="5400000" flipV="1">
          <a:off x="9358315" y="31265815"/>
          <a:ext cx="485775" cy="914402"/>
        </a:xfrm>
        <a:prstGeom prst="trapezoid">
          <a:avLst>
            <a:gd name="adj" fmla="val 20304"/>
          </a:avLst>
        </a:prstGeom>
        <a:solidFill>
          <a:srgbClr val="00B050">
            <a:alpha val="30000"/>
          </a:srgbClr>
        </a:solidFill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123825</xdr:colOff>
      <xdr:row>166</xdr:row>
      <xdr:rowOff>57150</xdr:rowOff>
    </xdr:from>
    <xdr:to>
      <xdr:col>11</xdr:col>
      <xdr:colOff>238125</xdr:colOff>
      <xdr:row>166</xdr:row>
      <xdr:rowOff>57150</xdr:rowOff>
    </xdr:to>
    <xdr:cxnSp macro="">
      <xdr:nvCxnSpPr>
        <xdr:cNvPr id="29" name="Conector de Seta Reta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/>
      </xdr:nvCxnSpPr>
      <xdr:spPr>
        <a:xfrm>
          <a:off x="9163050" y="32032575"/>
          <a:ext cx="9048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428625</xdr:colOff>
      <xdr:row>165</xdr:row>
      <xdr:rowOff>180975</xdr:rowOff>
    </xdr:from>
    <xdr:to>
      <xdr:col>10</xdr:col>
      <xdr:colOff>695325</xdr:colOff>
      <xdr:row>167</xdr:row>
      <xdr:rowOff>57150</xdr:rowOff>
    </xdr:to>
    <xdr:sp macro="" textlink="">
      <xdr:nvSpPr>
        <xdr:cNvPr id="135" name="CaixaDeTexto 134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SpPr txBox="1"/>
      </xdr:nvSpPr>
      <xdr:spPr>
        <a:xfrm>
          <a:off x="9467850" y="3196590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T</a:t>
          </a:r>
        </a:p>
      </xdr:txBody>
    </xdr:sp>
    <xdr:clientData/>
  </xdr:twoCellAnchor>
  <xdr:twoCellAnchor>
    <xdr:from>
      <xdr:col>11</xdr:col>
      <xdr:colOff>247650</xdr:colOff>
      <xdr:row>163</xdr:row>
      <xdr:rowOff>76200</xdr:rowOff>
    </xdr:from>
    <xdr:to>
      <xdr:col>12</xdr:col>
      <xdr:colOff>152400</xdr:colOff>
      <xdr:row>165</xdr:row>
      <xdr:rowOff>180975</xdr:rowOff>
    </xdr:to>
    <xdr:sp macro="" textlink="">
      <xdr:nvSpPr>
        <xdr:cNvPr id="136" name="Retângulo 135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SpPr/>
      </xdr:nvSpPr>
      <xdr:spPr>
        <a:xfrm>
          <a:off x="10077450" y="31480125"/>
          <a:ext cx="666750" cy="485775"/>
        </a:xfrm>
        <a:prstGeom prst="rect">
          <a:avLst/>
        </a:prstGeom>
        <a:solidFill>
          <a:srgbClr val="00B050">
            <a:alpha val="30000"/>
          </a:srgbClr>
        </a:solidFill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523875</xdr:colOff>
      <xdr:row>161</xdr:row>
      <xdr:rowOff>171449</xdr:rowOff>
    </xdr:from>
    <xdr:to>
      <xdr:col>10</xdr:col>
      <xdr:colOff>133350</xdr:colOff>
      <xdr:row>168</xdr:row>
      <xdr:rowOff>9524</xdr:rowOff>
    </xdr:to>
    <xdr:sp macro="" textlink="">
      <xdr:nvSpPr>
        <xdr:cNvPr id="30" name="Retângulo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8515350" y="31194374"/>
          <a:ext cx="657225" cy="1171575"/>
        </a:xfrm>
        <a:prstGeom prst="rect">
          <a:avLst/>
        </a:prstGeom>
        <a:solidFill>
          <a:schemeClr val="accent1">
            <a:alpha val="10000"/>
          </a:schemeClr>
        </a:solidFill>
        <a:ln w="285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11</xdr:col>
      <xdr:colOff>523874</xdr:colOff>
      <xdr:row>162</xdr:row>
      <xdr:rowOff>104774</xdr:rowOff>
    </xdr:from>
    <xdr:to>
      <xdr:col>12</xdr:col>
      <xdr:colOff>133349</xdr:colOff>
      <xdr:row>167</xdr:row>
      <xdr:rowOff>57150</xdr:rowOff>
    </xdr:to>
    <xdr:sp macro="" textlink="">
      <xdr:nvSpPr>
        <xdr:cNvPr id="138" name="Retângulo 137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SpPr/>
      </xdr:nvSpPr>
      <xdr:spPr>
        <a:xfrm>
          <a:off x="10353674" y="31318199"/>
          <a:ext cx="371475" cy="904876"/>
        </a:xfrm>
        <a:prstGeom prst="rect">
          <a:avLst/>
        </a:prstGeom>
        <a:solidFill>
          <a:schemeClr val="accent1">
            <a:alpha val="10000"/>
          </a:schemeClr>
        </a:solidFill>
        <a:ln w="285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133350</xdr:colOff>
      <xdr:row>161</xdr:row>
      <xdr:rowOff>152400</xdr:rowOff>
    </xdr:from>
    <xdr:to>
      <xdr:col>11</xdr:col>
      <xdr:colOff>542925</xdr:colOff>
      <xdr:row>167</xdr:row>
      <xdr:rowOff>57151</xdr:rowOff>
    </xdr:to>
    <xdr:sp macro="" textlink="">
      <xdr:nvSpPr>
        <xdr:cNvPr id="116" name="Retângulo 115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/>
      </xdr:nvSpPr>
      <xdr:spPr>
        <a:xfrm>
          <a:off x="9172575" y="31175325"/>
          <a:ext cx="1200150" cy="1047751"/>
        </a:xfrm>
        <a:prstGeom prst="rect">
          <a:avLst/>
        </a:prstGeom>
        <a:solidFill>
          <a:schemeClr val="accent1">
            <a:alpha val="10000"/>
          </a:schemeClr>
        </a:solidFill>
        <a:ln w="285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11</xdr:col>
      <xdr:colOff>38101</xdr:colOff>
      <xdr:row>162</xdr:row>
      <xdr:rowOff>47625</xdr:rowOff>
    </xdr:from>
    <xdr:to>
      <xdr:col>12</xdr:col>
      <xdr:colOff>19051</xdr:colOff>
      <xdr:row>163</xdr:row>
      <xdr:rowOff>114300</xdr:rowOff>
    </xdr:to>
    <xdr:sp macro="" textlink="">
      <xdr:nvSpPr>
        <xdr:cNvPr id="117" name="CaixaDeTexto 116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 txBox="1"/>
      </xdr:nvSpPr>
      <xdr:spPr>
        <a:xfrm>
          <a:off x="9867901" y="31261050"/>
          <a:ext cx="7429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B050"/>
              </a:solidFill>
            </a:rPr>
            <a:t>(S - T) / 2</a:t>
          </a:r>
        </a:p>
      </xdr:txBody>
    </xdr:sp>
    <xdr:clientData/>
  </xdr:twoCellAnchor>
  <xdr:twoCellAnchor>
    <xdr:from>
      <xdr:col>8</xdr:col>
      <xdr:colOff>619125</xdr:colOff>
      <xdr:row>168</xdr:row>
      <xdr:rowOff>9525</xdr:rowOff>
    </xdr:from>
    <xdr:to>
      <xdr:col>8</xdr:col>
      <xdr:colOff>885825</xdr:colOff>
      <xdr:row>169</xdr:row>
      <xdr:rowOff>76200</xdr:rowOff>
    </xdr:to>
    <xdr:sp macro="" textlink="">
      <xdr:nvSpPr>
        <xdr:cNvPr id="118" name="CaixaDeTexto 117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 txBox="1"/>
      </xdr:nvSpPr>
      <xdr:spPr>
        <a:xfrm>
          <a:off x="7667625" y="3179445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74</xdr:row>
      <xdr:rowOff>0</xdr:rowOff>
    </xdr:from>
    <xdr:to>
      <xdr:col>51</xdr:col>
      <xdr:colOff>581025</xdr:colOff>
      <xdr:row>74</xdr:row>
      <xdr:rowOff>0</xdr:rowOff>
    </xdr:to>
    <xdr:graphicFrame macro="">
      <xdr:nvGraphicFramePr>
        <xdr:cNvPr id="2" name="Gráfico 4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180975</xdr:colOff>
      <xdr:row>102</xdr:row>
      <xdr:rowOff>28575</xdr:rowOff>
    </xdr:from>
    <xdr:to>
      <xdr:col>5</xdr:col>
      <xdr:colOff>238125</xdr:colOff>
      <xdr:row>103</xdr:row>
      <xdr:rowOff>38100</xdr:rowOff>
    </xdr:to>
    <xdr:pic>
      <xdr:nvPicPr>
        <xdr:cNvPr id="13" name="Figura 32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20002500"/>
          <a:ext cx="1276350" cy="2000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15" name="Picture 268" descr="Ministério de Minas e Energia - MME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695325</xdr:colOff>
      <xdr:row>1</xdr:row>
      <xdr:rowOff>28575</xdr:rowOff>
    </xdr:from>
    <xdr:to>
      <xdr:col>3</xdr:col>
      <xdr:colOff>390525</xdr:colOff>
      <xdr:row>1</xdr:row>
      <xdr:rowOff>390525</xdr:rowOff>
    </xdr:to>
    <xdr:sp macro="" textlink="">
      <xdr:nvSpPr>
        <xdr:cNvPr id="16" name="Text Box 269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695325" y="219075"/>
          <a:ext cx="22193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28575</xdr:colOff>
      <xdr:row>0</xdr:row>
      <xdr:rowOff>171450</xdr:rowOff>
    </xdr:from>
    <xdr:to>
      <xdr:col>9</xdr:col>
      <xdr:colOff>666750</xdr:colOff>
      <xdr:row>1</xdr:row>
      <xdr:rowOff>333375</xdr:rowOff>
    </xdr:to>
    <xdr:pic>
      <xdr:nvPicPr>
        <xdr:cNvPr id="17" name="Picture 270" descr="PCE azul completo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591300" y="171450"/>
          <a:ext cx="1419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18" name="Picture 271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1619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381000</xdr:rowOff>
    </xdr:to>
    <xdr:pic>
      <xdr:nvPicPr>
        <xdr:cNvPr id="19" name="Picture 272" descr="Ministério de Minas e Energia - MME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20" name="Picture 275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1619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52</xdr:row>
          <xdr:rowOff>142875</xdr:rowOff>
        </xdr:from>
        <xdr:to>
          <xdr:col>3</xdr:col>
          <xdr:colOff>123825</xdr:colOff>
          <xdr:row>54</xdr:row>
          <xdr:rowOff>133350</xdr:rowOff>
        </xdr:to>
        <xdr:sp macro="" textlink="">
          <xdr:nvSpPr>
            <xdr:cNvPr id="18433" name="Figura 233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3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59</xdr:row>
          <xdr:rowOff>66675</xdr:rowOff>
        </xdr:from>
        <xdr:to>
          <xdr:col>5</xdr:col>
          <xdr:colOff>142875</xdr:colOff>
          <xdr:row>61</xdr:row>
          <xdr:rowOff>114300</xdr:rowOff>
        </xdr:to>
        <xdr:sp macro="" textlink="">
          <xdr:nvSpPr>
            <xdr:cNvPr id="18434" name="Figura 234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3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67</xdr:row>
          <xdr:rowOff>19050</xdr:rowOff>
        </xdr:from>
        <xdr:to>
          <xdr:col>3</xdr:col>
          <xdr:colOff>180975</xdr:colOff>
          <xdr:row>68</xdr:row>
          <xdr:rowOff>47625</xdr:rowOff>
        </xdr:to>
        <xdr:sp macro="" textlink="">
          <xdr:nvSpPr>
            <xdr:cNvPr id="18435" name="Figura 235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3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79</xdr:row>
          <xdr:rowOff>142875</xdr:rowOff>
        </xdr:from>
        <xdr:to>
          <xdr:col>4</xdr:col>
          <xdr:colOff>47625</xdr:colOff>
          <xdr:row>81</xdr:row>
          <xdr:rowOff>133350</xdr:rowOff>
        </xdr:to>
        <xdr:sp macro="" textlink="">
          <xdr:nvSpPr>
            <xdr:cNvPr id="18436" name="Figura 238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3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71</xdr:row>
          <xdr:rowOff>19050</xdr:rowOff>
        </xdr:from>
        <xdr:to>
          <xdr:col>3</xdr:col>
          <xdr:colOff>152400</xdr:colOff>
          <xdr:row>72</xdr:row>
          <xdr:rowOff>19050</xdr:rowOff>
        </xdr:to>
        <xdr:sp macro="" textlink="">
          <xdr:nvSpPr>
            <xdr:cNvPr id="18437" name="Figura 243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3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371475</xdr:colOff>
          <xdr:row>30</xdr:row>
          <xdr:rowOff>123825</xdr:rowOff>
        </xdr:from>
        <xdr:to>
          <xdr:col>10</xdr:col>
          <xdr:colOff>371475</xdr:colOff>
          <xdr:row>45</xdr:row>
          <xdr:rowOff>0</xdr:rowOff>
        </xdr:to>
        <xdr:sp macro="" textlink="">
          <xdr:nvSpPr>
            <xdr:cNvPr id="18438" name="Figura 248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3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84</xdr:row>
          <xdr:rowOff>85725</xdr:rowOff>
        </xdr:from>
        <xdr:to>
          <xdr:col>6</xdr:col>
          <xdr:colOff>152400</xdr:colOff>
          <xdr:row>85</xdr:row>
          <xdr:rowOff>104775</xdr:rowOff>
        </xdr:to>
        <xdr:sp macro="" textlink="">
          <xdr:nvSpPr>
            <xdr:cNvPr id="18439" name="Figura 321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3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87</xdr:row>
          <xdr:rowOff>28575</xdr:rowOff>
        </xdr:from>
        <xdr:to>
          <xdr:col>5</xdr:col>
          <xdr:colOff>104775</xdr:colOff>
          <xdr:row>88</xdr:row>
          <xdr:rowOff>38100</xdr:rowOff>
        </xdr:to>
        <xdr:sp macro="" textlink="">
          <xdr:nvSpPr>
            <xdr:cNvPr id="18440" name="Figura 322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3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94</xdr:row>
          <xdr:rowOff>142875</xdr:rowOff>
        </xdr:from>
        <xdr:to>
          <xdr:col>4</xdr:col>
          <xdr:colOff>47625</xdr:colOff>
          <xdr:row>96</xdr:row>
          <xdr:rowOff>133350</xdr:rowOff>
        </xdr:to>
        <xdr:sp macro="" textlink="">
          <xdr:nvSpPr>
            <xdr:cNvPr id="18441" name="Objeto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3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99</xdr:row>
          <xdr:rowOff>85725</xdr:rowOff>
        </xdr:from>
        <xdr:to>
          <xdr:col>5</xdr:col>
          <xdr:colOff>609600</xdr:colOff>
          <xdr:row>100</xdr:row>
          <xdr:rowOff>95250</xdr:rowOff>
        </xdr:to>
        <xdr:sp macro="" textlink="">
          <xdr:nvSpPr>
            <xdr:cNvPr id="18442" name="Objeto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3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56</xdr:row>
          <xdr:rowOff>85725</xdr:rowOff>
        </xdr:from>
        <xdr:to>
          <xdr:col>3</xdr:col>
          <xdr:colOff>200025</xdr:colOff>
          <xdr:row>58</xdr:row>
          <xdr:rowOff>76200</xdr:rowOff>
        </xdr:to>
        <xdr:sp macro="" textlink="">
          <xdr:nvSpPr>
            <xdr:cNvPr id="18443" name="Objeto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3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3.bin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image" Target="../media/image25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2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Microsoft_Word_97_-_2003_Document.doc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90.emf"/><Relationship Id="rId21" Type="http://schemas.openxmlformats.org/officeDocument/2006/relationships/image" Target="../media/image42.emf"/><Relationship Id="rId42" Type="http://schemas.openxmlformats.org/officeDocument/2006/relationships/oleObject" Target="../embeddings/oleObject44.bin"/><Relationship Id="rId63" Type="http://schemas.openxmlformats.org/officeDocument/2006/relationships/image" Target="../media/image63.emf"/><Relationship Id="rId84" Type="http://schemas.openxmlformats.org/officeDocument/2006/relationships/oleObject" Target="../embeddings/oleObject65.bin"/><Relationship Id="rId16" Type="http://schemas.openxmlformats.org/officeDocument/2006/relationships/oleObject" Target="../embeddings/oleObject31.bin"/><Relationship Id="rId107" Type="http://schemas.openxmlformats.org/officeDocument/2006/relationships/image" Target="../media/image85.emf"/><Relationship Id="rId11" Type="http://schemas.openxmlformats.org/officeDocument/2006/relationships/image" Target="../media/image37.emf"/><Relationship Id="rId32" Type="http://schemas.openxmlformats.org/officeDocument/2006/relationships/oleObject" Target="../embeddings/oleObject39.bin"/><Relationship Id="rId37" Type="http://schemas.openxmlformats.org/officeDocument/2006/relationships/image" Target="../media/image50.emf"/><Relationship Id="rId53" Type="http://schemas.openxmlformats.org/officeDocument/2006/relationships/image" Target="../media/image58.emf"/><Relationship Id="rId58" Type="http://schemas.openxmlformats.org/officeDocument/2006/relationships/oleObject" Target="../embeddings/oleObject52.bin"/><Relationship Id="rId74" Type="http://schemas.openxmlformats.org/officeDocument/2006/relationships/oleObject" Target="../embeddings/oleObject60.bin"/><Relationship Id="rId79" Type="http://schemas.openxmlformats.org/officeDocument/2006/relationships/image" Target="../media/image71.emf"/><Relationship Id="rId102" Type="http://schemas.openxmlformats.org/officeDocument/2006/relationships/oleObject" Target="../embeddings/oleObject74.bin"/><Relationship Id="rId123" Type="http://schemas.openxmlformats.org/officeDocument/2006/relationships/image" Target="../media/image93.emf"/><Relationship Id="rId128" Type="http://schemas.openxmlformats.org/officeDocument/2006/relationships/oleObject" Target="../embeddings/oleObject87.bin"/><Relationship Id="rId5" Type="http://schemas.openxmlformats.org/officeDocument/2006/relationships/image" Target="../media/image34.emf"/><Relationship Id="rId90" Type="http://schemas.openxmlformats.org/officeDocument/2006/relationships/oleObject" Target="../embeddings/oleObject68.bin"/><Relationship Id="rId95" Type="http://schemas.openxmlformats.org/officeDocument/2006/relationships/image" Target="../media/image79.emf"/><Relationship Id="rId22" Type="http://schemas.openxmlformats.org/officeDocument/2006/relationships/oleObject" Target="../embeddings/oleObject34.bin"/><Relationship Id="rId27" Type="http://schemas.openxmlformats.org/officeDocument/2006/relationships/image" Target="../media/image45.emf"/><Relationship Id="rId43" Type="http://schemas.openxmlformats.org/officeDocument/2006/relationships/image" Target="../media/image53.emf"/><Relationship Id="rId48" Type="http://schemas.openxmlformats.org/officeDocument/2006/relationships/oleObject" Target="../embeddings/oleObject47.bin"/><Relationship Id="rId64" Type="http://schemas.openxmlformats.org/officeDocument/2006/relationships/oleObject" Target="../embeddings/oleObject55.bin"/><Relationship Id="rId69" Type="http://schemas.openxmlformats.org/officeDocument/2006/relationships/image" Target="../media/image66.emf"/><Relationship Id="rId113" Type="http://schemas.openxmlformats.org/officeDocument/2006/relationships/image" Target="../media/image88.emf"/><Relationship Id="rId118" Type="http://schemas.openxmlformats.org/officeDocument/2006/relationships/oleObject" Target="../embeddings/oleObject82.bin"/><Relationship Id="rId80" Type="http://schemas.openxmlformats.org/officeDocument/2006/relationships/oleObject" Target="../embeddings/oleObject63.bin"/><Relationship Id="rId85" Type="http://schemas.openxmlformats.org/officeDocument/2006/relationships/image" Target="../media/image74.emf"/><Relationship Id="rId12" Type="http://schemas.openxmlformats.org/officeDocument/2006/relationships/oleObject" Target="../embeddings/oleObject29.bin"/><Relationship Id="rId17" Type="http://schemas.openxmlformats.org/officeDocument/2006/relationships/image" Target="../media/image40.emf"/><Relationship Id="rId33" Type="http://schemas.openxmlformats.org/officeDocument/2006/relationships/image" Target="../media/image48.emf"/><Relationship Id="rId38" Type="http://schemas.openxmlformats.org/officeDocument/2006/relationships/oleObject" Target="../embeddings/oleObject42.bin"/><Relationship Id="rId59" Type="http://schemas.openxmlformats.org/officeDocument/2006/relationships/image" Target="../media/image61.emf"/><Relationship Id="rId103" Type="http://schemas.openxmlformats.org/officeDocument/2006/relationships/image" Target="../media/image83.emf"/><Relationship Id="rId108" Type="http://schemas.openxmlformats.org/officeDocument/2006/relationships/oleObject" Target="../embeddings/oleObject77.bin"/><Relationship Id="rId124" Type="http://schemas.openxmlformats.org/officeDocument/2006/relationships/oleObject" Target="../embeddings/oleObject85.bin"/><Relationship Id="rId129" Type="http://schemas.openxmlformats.org/officeDocument/2006/relationships/image" Target="../media/image96.emf"/><Relationship Id="rId54" Type="http://schemas.openxmlformats.org/officeDocument/2006/relationships/oleObject" Target="../embeddings/oleObject50.bin"/><Relationship Id="rId70" Type="http://schemas.openxmlformats.org/officeDocument/2006/relationships/oleObject" Target="../embeddings/oleObject58.bin"/><Relationship Id="rId75" Type="http://schemas.openxmlformats.org/officeDocument/2006/relationships/image" Target="../media/image69.emf"/><Relationship Id="rId91" Type="http://schemas.openxmlformats.org/officeDocument/2006/relationships/image" Target="../media/image77.emf"/><Relationship Id="rId96" Type="http://schemas.openxmlformats.org/officeDocument/2006/relationships/oleObject" Target="../embeddings/oleObject71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6.bin"/><Relationship Id="rId23" Type="http://schemas.openxmlformats.org/officeDocument/2006/relationships/image" Target="../media/image43.emf"/><Relationship Id="rId28" Type="http://schemas.openxmlformats.org/officeDocument/2006/relationships/oleObject" Target="../embeddings/oleObject37.bin"/><Relationship Id="rId49" Type="http://schemas.openxmlformats.org/officeDocument/2006/relationships/image" Target="../media/image56.emf"/><Relationship Id="rId114" Type="http://schemas.openxmlformats.org/officeDocument/2006/relationships/oleObject" Target="../embeddings/oleObject80.bin"/><Relationship Id="rId119" Type="http://schemas.openxmlformats.org/officeDocument/2006/relationships/image" Target="../media/image91.emf"/><Relationship Id="rId44" Type="http://schemas.openxmlformats.org/officeDocument/2006/relationships/oleObject" Target="../embeddings/oleObject45.bin"/><Relationship Id="rId60" Type="http://schemas.openxmlformats.org/officeDocument/2006/relationships/oleObject" Target="../embeddings/oleObject53.bin"/><Relationship Id="rId65" Type="http://schemas.openxmlformats.org/officeDocument/2006/relationships/image" Target="../media/image64.emf"/><Relationship Id="rId81" Type="http://schemas.openxmlformats.org/officeDocument/2006/relationships/image" Target="../media/image72.emf"/><Relationship Id="rId86" Type="http://schemas.openxmlformats.org/officeDocument/2006/relationships/oleObject" Target="../embeddings/oleObject66.bin"/><Relationship Id="rId130" Type="http://schemas.openxmlformats.org/officeDocument/2006/relationships/oleObject" Target="../embeddings/oleObject88.bin"/><Relationship Id="rId13" Type="http://schemas.openxmlformats.org/officeDocument/2006/relationships/image" Target="../media/image38.emf"/><Relationship Id="rId18" Type="http://schemas.openxmlformats.org/officeDocument/2006/relationships/oleObject" Target="../embeddings/oleObject32.bin"/><Relationship Id="rId39" Type="http://schemas.openxmlformats.org/officeDocument/2006/relationships/image" Target="../media/image51.emf"/><Relationship Id="rId109" Type="http://schemas.openxmlformats.org/officeDocument/2006/relationships/image" Target="../media/image86.emf"/><Relationship Id="rId34" Type="http://schemas.openxmlformats.org/officeDocument/2006/relationships/oleObject" Target="../embeddings/oleObject40.bin"/><Relationship Id="rId50" Type="http://schemas.openxmlformats.org/officeDocument/2006/relationships/oleObject" Target="../embeddings/oleObject48.bin"/><Relationship Id="rId55" Type="http://schemas.openxmlformats.org/officeDocument/2006/relationships/image" Target="../media/image59.emf"/><Relationship Id="rId76" Type="http://schemas.openxmlformats.org/officeDocument/2006/relationships/oleObject" Target="../embeddings/oleObject61.bin"/><Relationship Id="rId97" Type="http://schemas.openxmlformats.org/officeDocument/2006/relationships/image" Target="../media/image80.emf"/><Relationship Id="rId104" Type="http://schemas.openxmlformats.org/officeDocument/2006/relationships/oleObject" Target="../embeddings/oleObject75.bin"/><Relationship Id="rId120" Type="http://schemas.openxmlformats.org/officeDocument/2006/relationships/oleObject" Target="../embeddings/oleObject83.bin"/><Relationship Id="rId125" Type="http://schemas.openxmlformats.org/officeDocument/2006/relationships/image" Target="../media/image94.emf"/><Relationship Id="rId7" Type="http://schemas.openxmlformats.org/officeDocument/2006/relationships/image" Target="../media/image35.emf"/><Relationship Id="rId71" Type="http://schemas.openxmlformats.org/officeDocument/2006/relationships/image" Target="../media/image67.emf"/><Relationship Id="rId92" Type="http://schemas.openxmlformats.org/officeDocument/2006/relationships/oleObject" Target="../embeddings/oleObject69.bin"/><Relationship Id="rId2" Type="http://schemas.openxmlformats.org/officeDocument/2006/relationships/drawing" Target="../drawings/drawing2.xml"/><Relationship Id="rId29" Type="http://schemas.openxmlformats.org/officeDocument/2006/relationships/image" Target="../media/image46.emf"/><Relationship Id="rId24" Type="http://schemas.openxmlformats.org/officeDocument/2006/relationships/oleObject" Target="../embeddings/oleObject35.bin"/><Relationship Id="rId40" Type="http://schemas.openxmlformats.org/officeDocument/2006/relationships/oleObject" Target="../embeddings/oleObject43.bin"/><Relationship Id="rId45" Type="http://schemas.openxmlformats.org/officeDocument/2006/relationships/image" Target="../media/image54.emf"/><Relationship Id="rId66" Type="http://schemas.openxmlformats.org/officeDocument/2006/relationships/oleObject" Target="../embeddings/oleObject56.bin"/><Relationship Id="rId87" Type="http://schemas.openxmlformats.org/officeDocument/2006/relationships/image" Target="../media/image75.emf"/><Relationship Id="rId110" Type="http://schemas.openxmlformats.org/officeDocument/2006/relationships/oleObject" Target="../embeddings/oleObject78.bin"/><Relationship Id="rId115" Type="http://schemas.openxmlformats.org/officeDocument/2006/relationships/image" Target="../media/image89.emf"/><Relationship Id="rId131" Type="http://schemas.openxmlformats.org/officeDocument/2006/relationships/image" Target="../media/image97.emf"/><Relationship Id="rId61" Type="http://schemas.openxmlformats.org/officeDocument/2006/relationships/image" Target="../media/image62.emf"/><Relationship Id="rId82" Type="http://schemas.openxmlformats.org/officeDocument/2006/relationships/oleObject" Target="../embeddings/oleObject64.bin"/><Relationship Id="rId19" Type="http://schemas.openxmlformats.org/officeDocument/2006/relationships/image" Target="../media/image41.emf"/><Relationship Id="rId14" Type="http://schemas.openxmlformats.org/officeDocument/2006/relationships/oleObject" Target="../embeddings/oleObject30.bin"/><Relationship Id="rId30" Type="http://schemas.openxmlformats.org/officeDocument/2006/relationships/oleObject" Target="../embeddings/oleObject38.bin"/><Relationship Id="rId35" Type="http://schemas.openxmlformats.org/officeDocument/2006/relationships/image" Target="../media/image49.emf"/><Relationship Id="rId56" Type="http://schemas.openxmlformats.org/officeDocument/2006/relationships/oleObject" Target="../embeddings/oleObject51.bin"/><Relationship Id="rId77" Type="http://schemas.openxmlformats.org/officeDocument/2006/relationships/image" Target="../media/image70.emf"/><Relationship Id="rId100" Type="http://schemas.openxmlformats.org/officeDocument/2006/relationships/oleObject" Target="../embeddings/oleObject73.bin"/><Relationship Id="rId105" Type="http://schemas.openxmlformats.org/officeDocument/2006/relationships/image" Target="../media/image84.emf"/><Relationship Id="rId126" Type="http://schemas.openxmlformats.org/officeDocument/2006/relationships/oleObject" Target="../embeddings/oleObject86.bin"/><Relationship Id="rId8" Type="http://schemas.openxmlformats.org/officeDocument/2006/relationships/oleObject" Target="../embeddings/oleObject27.bin"/><Relationship Id="rId51" Type="http://schemas.openxmlformats.org/officeDocument/2006/relationships/image" Target="../media/image57.emf"/><Relationship Id="rId72" Type="http://schemas.openxmlformats.org/officeDocument/2006/relationships/oleObject" Target="../embeddings/oleObject59.bin"/><Relationship Id="rId93" Type="http://schemas.openxmlformats.org/officeDocument/2006/relationships/image" Target="../media/image78.emf"/><Relationship Id="rId98" Type="http://schemas.openxmlformats.org/officeDocument/2006/relationships/oleObject" Target="../embeddings/oleObject72.bin"/><Relationship Id="rId121" Type="http://schemas.openxmlformats.org/officeDocument/2006/relationships/image" Target="../media/image92.emf"/><Relationship Id="rId3" Type="http://schemas.openxmlformats.org/officeDocument/2006/relationships/vmlDrawing" Target="../drawings/vmlDrawing2.vml"/><Relationship Id="rId25" Type="http://schemas.openxmlformats.org/officeDocument/2006/relationships/image" Target="../media/image44.emf"/><Relationship Id="rId46" Type="http://schemas.openxmlformats.org/officeDocument/2006/relationships/oleObject" Target="../embeddings/oleObject46.bin"/><Relationship Id="rId67" Type="http://schemas.openxmlformats.org/officeDocument/2006/relationships/image" Target="../media/image65.emf"/><Relationship Id="rId116" Type="http://schemas.openxmlformats.org/officeDocument/2006/relationships/oleObject" Target="../embeddings/oleObject81.bin"/><Relationship Id="rId20" Type="http://schemas.openxmlformats.org/officeDocument/2006/relationships/oleObject" Target="../embeddings/oleObject33.bin"/><Relationship Id="rId41" Type="http://schemas.openxmlformats.org/officeDocument/2006/relationships/image" Target="../media/image52.emf"/><Relationship Id="rId62" Type="http://schemas.openxmlformats.org/officeDocument/2006/relationships/oleObject" Target="../embeddings/oleObject54.bin"/><Relationship Id="rId83" Type="http://schemas.openxmlformats.org/officeDocument/2006/relationships/image" Target="../media/image73.emf"/><Relationship Id="rId88" Type="http://schemas.openxmlformats.org/officeDocument/2006/relationships/oleObject" Target="../embeddings/oleObject67.bin"/><Relationship Id="rId111" Type="http://schemas.openxmlformats.org/officeDocument/2006/relationships/image" Target="../media/image87.emf"/><Relationship Id="rId132" Type="http://schemas.openxmlformats.org/officeDocument/2006/relationships/oleObject" Target="../embeddings/oleObject89.bin"/><Relationship Id="rId15" Type="http://schemas.openxmlformats.org/officeDocument/2006/relationships/image" Target="../media/image39.emf"/><Relationship Id="rId36" Type="http://schemas.openxmlformats.org/officeDocument/2006/relationships/oleObject" Target="../embeddings/oleObject41.bin"/><Relationship Id="rId57" Type="http://schemas.openxmlformats.org/officeDocument/2006/relationships/image" Target="../media/image60.emf"/><Relationship Id="rId106" Type="http://schemas.openxmlformats.org/officeDocument/2006/relationships/oleObject" Target="../embeddings/oleObject76.bin"/><Relationship Id="rId127" Type="http://schemas.openxmlformats.org/officeDocument/2006/relationships/image" Target="../media/image95.emf"/><Relationship Id="rId10" Type="http://schemas.openxmlformats.org/officeDocument/2006/relationships/oleObject" Target="../embeddings/oleObject28.bin"/><Relationship Id="rId31" Type="http://schemas.openxmlformats.org/officeDocument/2006/relationships/image" Target="../media/image47.emf"/><Relationship Id="rId52" Type="http://schemas.openxmlformats.org/officeDocument/2006/relationships/oleObject" Target="../embeddings/oleObject49.bin"/><Relationship Id="rId73" Type="http://schemas.openxmlformats.org/officeDocument/2006/relationships/image" Target="../media/image68.emf"/><Relationship Id="rId78" Type="http://schemas.openxmlformats.org/officeDocument/2006/relationships/oleObject" Target="../embeddings/oleObject62.bin"/><Relationship Id="rId94" Type="http://schemas.openxmlformats.org/officeDocument/2006/relationships/oleObject" Target="../embeddings/oleObject70.bin"/><Relationship Id="rId99" Type="http://schemas.openxmlformats.org/officeDocument/2006/relationships/image" Target="../media/image81.emf"/><Relationship Id="rId101" Type="http://schemas.openxmlformats.org/officeDocument/2006/relationships/image" Target="../media/image82.emf"/><Relationship Id="rId122" Type="http://schemas.openxmlformats.org/officeDocument/2006/relationships/oleObject" Target="../embeddings/oleObject84.bin"/><Relationship Id="rId4" Type="http://schemas.openxmlformats.org/officeDocument/2006/relationships/oleObject" Target="../embeddings/oleObject25.bin"/><Relationship Id="rId9" Type="http://schemas.openxmlformats.org/officeDocument/2006/relationships/image" Target="../media/image36.emf"/><Relationship Id="rId26" Type="http://schemas.openxmlformats.org/officeDocument/2006/relationships/oleObject" Target="../embeddings/oleObject36.bin"/><Relationship Id="rId47" Type="http://schemas.openxmlformats.org/officeDocument/2006/relationships/image" Target="../media/image55.emf"/><Relationship Id="rId68" Type="http://schemas.openxmlformats.org/officeDocument/2006/relationships/oleObject" Target="../embeddings/oleObject57.bin"/><Relationship Id="rId89" Type="http://schemas.openxmlformats.org/officeDocument/2006/relationships/image" Target="../media/image76.emf"/><Relationship Id="rId112" Type="http://schemas.openxmlformats.org/officeDocument/2006/relationships/oleObject" Target="../embeddings/oleObject79.bin"/><Relationship Id="rId133" Type="http://schemas.openxmlformats.org/officeDocument/2006/relationships/image" Target="../media/image98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92.bin"/><Relationship Id="rId13" Type="http://schemas.openxmlformats.org/officeDocument/2006/relationships/image" Target="../media/image113.emf"/><Relationship Id="rId18" Type="http://schemas.openxmlformats.org/officeDocument/2006/relationships/oleObject" Target="../embeddings/oleObject96.bin"/><Relationship Id="rId3" Type="http://schemas.openxmlformats.org/officeDocument/2006/relationships/vmlDrawing" Target="../drawings/vmlDrawing3.vml"/><Relationship Id="rId21" Type="http://schemas.openxmlformats.org/officeDocument/2006/relationships/image" Target="../media/image117.emf"/><Relationship Id="rId7" Type="http://schemas.openxmlformats.org/officeDocument/2006/relationships/image" Target="../media/image110.emf"/><Relationship Id="rId12" Type="http://schemas.openxmlformats.org/officeDocument/2006/relationships/oleObject" Target="../embeddings/oleObject94.bin"/><Relationship Id="rId17" Type="http://schemas.openxmlformats.org/officeDocument/2006/relationships/image" Target="../media/image115.emf"/><Relationship Id="rId25" Type="http://schemas.openxmlformats.org/officeDocument/2006/relationships/image" Target="../media/image119.emf"/><Relationship Id="rId2" Type="http://schemas.openxmlformats.org/officeDocument/2006/relationships/drawing" Target="../drawings/drawing3.xml"/><Relationship Id="rId16" Type="http://schemas.openxmlformats.org/officeDocument/2006/relationships/oleObject" Target="../embeddings/oleObject95.bin"/><Relationship Id="rId20" Type="http://schemas.openxmlformats.org/officeDocument/2006/relationships/oleObject" Target="../embeddings/oleObject9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91.bin"/><Relationship Id="rId11" Type="http://schemas.openxmlformats.org/officeDocument/2006/relationships/image" Target="../media/image112.emf"/><Relationship Id="rId24" Type="http://schemas.openxmlformats.org/officeDocument/2006/relationships/oleObject" Target="../embeddings/oleObject99.bin"/><Relationship Id="rId5" Type="http://schemas.openxmlformats.org/officeDocument/2006/relationships/image" Target="../media/image109.emf"/><Relationship Id="rId15" Type="http://schemas.openxmlformats.org/officeDocument/2006/relationships/image" Target="../media/image114.emf"/><Relationship Id="rId23" Type="http://schemas.openxmlformats.org/officeDocument/2006/relationships/image" Target="../media/image118.emf"/><Relationship Id="rId10" Type="http://schemas.openxmlformats.org/officeDocument/2006/relationships/oleObject" Target="../embeddings/oleObject93.bin"/><Relationship Id="rId19" Type="http://schemas.openxmlformats.org/officeDocument/2006/relationships/image" Target="../media/image116.emf"/><Relationship Id="rId4" Type="http://schemas.openxmlformats.org/officeDocument/2006/relationships/oleObject" Target="../embeddings/oleObject90.bin"/><Relationship Id="rId9" Type="http://schemas.openxmlformats.org/officeDocument/2006/relationships/image" Target="../media/image111.emf"/><Relationship Id="rId14" Type="http://schemas.openxmlformats.org/officeDocument/2006/relationships/oleObject" Target="../embeddings/Microsoft_Word_97_-_2003_Document1.doc"/><Relationship Id="rId22" Type="http://schemas.openxmlformats.org/officeDocument/2006/relationships/oleObject" Target="../embeddings/oleObject9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www.portalbrasil.net/igp.htm" TargetMode="External"/><Relationship Id="rId1" Type="http://schemas.openxmlformats.org/officeDocument/2006/relationships/hyperlink" Target="http://www.portalbrasil.net/igp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workbookViewId="0">
      <selection activeCell="F1" sqref="F1"/>
    </sheetView>
  </sheetViews>
  <sheetFormatPr defaultRowHeight="15" x14ac:dyDescent="0.25"/>
  <cols>
    <col min="1" max="1" width="22.28515625" style="424" bestFit="1" customWidth="1"/>
    <col min="2" max="2" width="6.5703125" style="424" bestFit="1" customWidth="1"/>
    <col min="3" max="3" width="4.7109375" style="424" customWidth="1"/>
    <col min="4" max="4" width="2" style="424" bestFit="1" customWidth="1"/>
    <col min="5" max="5" width="6.140625" style="425" customWidth="1"/>
    <col min="6" max="6" width="84.7109375" style="424" customWidth="1"/>
    <col min="7" max="7" width="4.7109375" style="424" customWidth="1"/>
    <col min="8" max="8" width="22.28515625" style="424" bestFit="1" customWidth="1"/>
    <col min="9" max="9" width="12.7109375" style="424" bestFit="1" customWidth="1"/>
    <col min="10" max="10" width="3.42578125" style="424" bestFit="1" customWidth="1"/>
    <col min="11" max="11" width="2.7109375" style="424" customWidth="1"/>
    <col min="12" max="12" width="6" style="425" bestFit="1" customWidth="1"/>
    <col min="13" max="13" width="52" style="424" bestFit="1" customWidth="1"/>
    <col min="14" max="16384" width="9.140625" style="424"/>
  </cols>
  <sheetData>
    <row r="1" spans="1:13" x14ac:dyDescent="0.25">
      <c r="A1" s="423" t="s">
        <v>396</v>
      </c>
      <c r="E1" s="1"/>
      <c r="F1" s="464" t="s">
        <v>706</v>
      </c>
      <c r="H1" s="423" t="s">
        <v>397</v>
      </c>
    </row>
    <row r="2" spans="1:13" ht="18" x14ac:dyDescent="0.35">
      <c r="A2" s="426" t="s">
        <v>502</v>
      </c>
      <c r="B2" s="427">
        <v>521</v>
      </c>
      <c r="C2" s="424" t="s">
        <v>1</v>
      </c>
      <c r="D2" s="450">
        <v>1</v>
      </c>
      <c r="E2" s="428" t="s">
        <v>556</v>
      </c>
      <c r="F2" s="429" t="s">
        <v>686</v>
      </c>
      <c r="H2" s="426" t="s">
        <v>581</v>
      </c>
      <c r="I2" s="427">
        <f>I8</f>
        <v>18.88</v>
      </c>
      <c r="J2" s="424" t="s">
        <v>1</v>
      </c>
      <c r="K2" s="450">
        <v>2</v>
      </c>
      <c r="L2" s="430" t="s">
        <v>557</v>
      </c>
      <c r="M2" s="429" t="s">
        <v>637</v>
      </c>
    </row>
    <row r="3" spans="1:13" ht="18" x14ac:dyDescent="0.35">
      <c r="A3" s="426" t="s">
        <v>503</v>
      </c>
      <c r="B3" s="427">
        <v>521</v>
      </c>
      <c r="C3" s="424" t="s">
        <v>1</v>
      </c>
      <c r="D3" s="450">
        <v>1</v>
      </c>
      <c r="E3" s="428" t="s">
        <v>558</v>
      </c>
      <c r="F3" s="429" t="s">
        <v>687</v>
      </c>
      <c r="H3" s="426" t="s">
        <v>514</v>
      </c>
      <c r="I3" s="427">
        <f>I7</f>
        <v>488.43664854259771</v>
      </c>
      <c r="J3" s="424" t="s">
        <v>1</v>
      </c>
      <c r="K3" s="450">
        <v>2</v>
      </c>
      <c r="L3" s="430" t="s">
        <v>559</v>
      </c>
      <c r="M3" s="429" t="s">
        <v>636</v>
      </c>
    </row>
    <row r="4" spans="1:13" ht="18" x14ac:dyDescent="0.35">
      <c r="A4" s="426" t="s">
        <v>609</v>
      </c>
      <c r="B4" s="427">
        <v>505</v>
      </c>
      <c r="C4" s="424" t="s">
        <v>1</v>
      </c>
      <c r="D4" s="450">
        <v>1</v>
      </c>
      <c r="E4" s="428" t="s">
        <v>560</v>
      </c>
      <c r="F4" s="429" t="s">
        <v>656</v>
      </c>
      <c r="H4" s="426" t="s">
        <v>515</v>
      </c>
      <c r="I4" s="431">
        <f>hsb1intake!D70</f>
        <v>2</v>
      </c>
      <c r="K4" s="450">
        <v>2</v>
      </c>
      <c r="L4" s="430" t="s">
        <v>561</v>
      </c>
      <c r="M4" s="429" t="s">
        <v>641</v>
      </c>
    </row>
    <row r="5" spans="1:13" ht="18" x14ac:dyDescent="0.35">
      <c r="A5" s="426" t="s">
        <v>504</v>
      </c>
      <c r="B5" s="432">
        <v>2</v>
      </c>
      <c r="D5" s="450">
        <v>1</v>
      </c>
      <c r="E5" s="430"/>
      <c r="F5" s="429" t="s">
        <v>633</v>
      </c>
      <c r="H5" s="449" t="s">
        <v>516</v>
      </c>
      <c r="I5" s="427">
        <f>hsb1phouse!D163/2-hsb1intake!J88</f>
        <v>1.28</v>
      </c>
      <c r="J5" s="424" t="s">
        <v>1</v>
      </c>
      <c r="K5" s="450">
        <v>2</v>
      </c>
      <c r="L5" s="430" t="s">
        <v>562</v>
      </c>
      <c r="M5" s="429" t="s">
        <v>642</v>
      </c>
    </row>
    <row r="6" spans="1:13" ht="18" x14ac:dyDescent="0.35">
      <c r="A6" s="426" t="s">
        <v>505</v>
      </c>
      <c r="B6" s="427">
        <v>3</v>
      </c>
      <c r="C6" s="424" t="s">
        <v>1</v>
      </c>
      <c r="D6" s="450">
        <v>1</v>
      </c>
      <c r="E6" s="428" t="s">
        <v>563</v>
      </c>
      <c r="F6" s="429" t="s">
        <v>634</v>
      </c>
      <c r="H6" s="449" t="s">
        <v>517</v>
      </c>
      <c r="I6" s="427">
        <f>hsb1phouse!D161</f>
        <v>4.7250000000000005</v>
      </c>
      <c r="J6" s="424" t="s">
        <v>1</v>
      </c>
      <c r="K6" s="450">
        <v>2</v>
      </c>
      <c r="L6" s="430" t="s">
        <v>564</v>
      </c>
      <c r="M6" s="429" t="s">
        <v>640</v>
      </c>
    </row>
    <row r="7" spans="1:13" ht="18" x14ac:dyDescent="0.35">
      <c r="A7" s="426" t="s">
        <v>506</v>
      </c>
      <c r="B7" s="427">
        <v>1</v>
      </c>
      <c r="C7" s="424" t="s">
        <v>1</v>
      </c>
      <c r="D7" s="450">
        <v>1</v>
      </c>
      <c r="E7" s="428" t="s">
        <v>563</v>
      </c>
      <c r="F7" s="429" t="s">
        <v>635</v>
      </c>
      <c r="H7" s="449" t="s">
        <v>518</v>
      </c>
      <c r="I7" s="427">
        <f>hsb1intake!C16</f>
        <v>488.43664854259771</v>
      </c>
      <c r="J7" s="424" t="s">
        <v>1</v>
      </c>
      <c r="K7" s="450">
        <v>2</v>
      </c>
      <c r="L7" s="430" t="s">
        <v>565</v>
      </c>
      <c r="M7" s="429" t="s">
        <v>644</v>
      </c>
    </row>
    <row r="8" spans="1:13" ht="18" x14ac:dyDescent="0.35">
      <c r="A8" s="426" t="s">
        <v>507</v>
      </c>
      <c r="B8" s="427">
        <v>2</v>
      </c>
      <c r="C8" s="424" t="s">
        <v>1</v>
      </c>
      <c r="D8" s="450">
        <v>1</v>
      </c>
      <c r="E8" s="428" t="s">
        <v>563</v>
      </c>
      <c r="F8" s="437" t="s">
        <v>697</v>
      </c>
      <c r="H8" s="449" t="s">
        <v>519</v>
      </c>
      <c r="I8" s="427">
        <f>hsb1intake!E84</f>
        <v>18.88</v>
      </c>
      <c r="J8" s="424" t="s">
        <v>1</v>
      </c>
      <c r="K8" s="450">
        <v>1</v>
      </c>
      <c r="L8" s="430" t="s">
        <v>566</v>
      </c>
      <c r="M8" s="429" t="s">
        <v>650</v>
      </c>
    </row>
    <row r="9" spans="1:13" ht="18" x14ac:dyDescent="0.35">
      <c r="A9" s="426" t="s">
        <v>508</v>
      </c>
      <c r="B9" s="432">
        <v>10</v>
      </c>
      <c r="C9" s="424" t="s">
        <v>2</v>
      </c>
      <c r="D9" s="450">
        <v>1</v>
      </c>
      <c r="E9" s="430" t="s">
        <v>400</v>
      </c>
      <c r="F9" s="429" t="s">
        <v>631</v>
      </c>
      <c r="H9" s="449" t="s">
        <v>520</v>
      </c>
      <c r="I9" s="427">
        <f>hsb1intake!E88</f>
        <v>18.112670291480459</v>
      </c>
      <c r="J9" s="424" t="s">
        <v>1</v>
      </c>
      <c r="K9" s="450">
        <v>1</v>
      </c>
      <c r="L9" s="430" t="s">
        <v>567</v>
      </c>
      <c r="M9" s="429" t="s">
        <v>649</v>
      </c>
    </row>
    <row r="10" spans="1:13" ht="18" x14ac:dyDescent="0.35">
      <c r="A10" s="426" t="s">
        <v>509</v>
      </c>
      <c r="B10" s="432">
        <v>0.03</v>
      </c>
      <c r="D10" s="450">
        <v>1</v>
      </c>
      <c r="E10" s="430" t="s">
        <v>568</v>
      </c>
      <c r="F10" s="429" t="s">
        <v>632</v>
      </c>
      <c r="H10" s="449" t="s">
        <v>594</v>
      </c>
      <c r="I10" s="436">
        <f>hsb1intake!E73</f>
        <v>40.563351457402291</v>
      </c>
      <c r="J10" t="s">
        <v>1</v>
      </c>
      <c r="K10" s="450">
        <v>2</v>
      </c>
      <c r="L10" s="182" t="s">
        <v>596</v>
      </c>
      <c r="M10" s="429" t="s">
        <v>648</v>
      </c>
    </row>
    <row r="11" spans="1:13" ht="18" x14ac:dyDescent="0.35">
      <c r="A11" s="426" t="s">
        <v>625</v>
      </c>
      <c r="B11" s="432">
        <v>300</v>
      </c>
      <c r="C11" s="424" t="s">
        <v>0</v>
      </c>
      <c r="D11" s="450">
        <v>1</v>
      </c>
      <c r="E11" s="430"/>
      <c r="F11" s="429" t="s">
        <v>659</v>
      </c>
      <c r="H11" s="449" t="s">
        <v>595</v>
      </c>
      <c r="I11" s="436">
        <f>B3-I7-I6</f>
        <v>27.83835145740229</v>
      </c>
      <c r="J11" t="s">
        <v>1</v>
      </c>
      <c r="K11" s="450">
        <v>2</v>
      </c>
      <c r="L11" s="182" t="s">
        <v>597</v>
      </c>
      <c r="M11" s="429" t="s">
        <v>647</v>
      </c>
    </row>
    <row r="12" spans="1:13" ht="18" x14ac:dyDescent="0.35">
      <c r="A12" s="426" t="s">
        <v>510</v>
      </c>
      <c r="B12" s="427">
        <v>498</v>
      </c>
      <c r="C12" s="424" t="s">
        <v>1</v>
      </c>
      <c r="D12" s="450">
        <v>1</v>
      </c>
      <c r="E12" s="430"/>
      <c r="F12" s="429" t="s">
        <v>690</v>
      </c>
      <c r="H12" s="426" t="s">
        <v>605</v>
      </c>
      <c r="I12" s="451">
        <v>0</v>
      </c>
      <c r="J12" s="439"/>
      <c r="K12" s="450">
        <v>1</v>
      </c>
      <c r="L12" s="182" t="s">
        <v>606</v>
      </c>
      <c r="M12" s="429" t="s">
        <v>651</v>
      </c>
    </row>
    <row r="13" spans="1:13" ht="18" x14ac:dyDescent="0.35">
      <c r="A13" s="426" t="s">
        <v>511</v>
      </c>
      <c r="B13" s="427">
        <v>0.25</v>
      </c>
      <c r="D13" s="450">
        <v>1</v>
      </c>
      <c r="E13" s="430"/>
      <c r="F13" s="429" t="s">
        <v>688</v>
      </c>
      <c r="H13" s="426" t="s">
        <v>521</v>
      </c>
      <c r="I13" s="431">
        <f>hsb1phouse!F90</f>
        <v>2</v>
      </c>
      <c r="K13" s="450">
        <v>2</v>
      </c>
      <c r="L13" s="430" t="s">
        <v>569</v>
      </c>
      <c r="M13" s="429" t="s">
        <v>671</v>
      </c>
    </row>
    <row r="14" spans="1:13" ht="18" x14ac:dyDescent="0.35">
      <c r="A14" s="426" t="s">
        <v>512</v>
      </c>
      <c r="B14" s="427">
        <v>0.39</v>
      </c>
      <c r="D14" s="450">
        <v>1</v>
      </c>
      <c r="E14" s="430"/>
      <c r="F14" s="429" t="s">
        <v>689</v>
      </c>
      <c r="H14" s="426" t="s">
        <v>522</v>
      </c>
      <c r="I14" s="427">
        <f>hsb1phouse!F144</f>
        <v>2.1</v>
      </c>
      <c r="J14" s="424" t="s">
        <v>1</v>
      </c>
      <c r="K14" s="450">
        <v>2</v>
      </c>
      <c r="L14" s="182" t="s">
        <v>598</v>
      </c>
      <c r="M14" s="429" t="s">
        <v>684</v>
      </c>
    </row>
    <row r="15" spans="1:13" ht="18" x14ac:dyDescent="0.35">
      <c r="A15" s="426" t="s">
        <v>599</v>
      </c>
      <c r="B15" s="438">
        <v>525</v>
      </c>
      <c r="C15" s="33" t="s">
        <v>1</v>
      </c>
      <c r="D15" s="450">
        <v>1</v>
      </c>
      <c r="E15" s="182"/>
      <c r="F15" s="429" t="s">
        <v>629</v>
      </c>
      <c r="H15" s="426" t="s">
        <v>523</v>
      </c>
      <c r="I15" s="427">
        <f>hsb1phouse!D156</f>
        <v>490.79914854259772</v>
      </c>
      <c r="J15" s="424" t="s">
        <v>1</v>
      </c>
      <c r="K15" s="450">
        <v>2</v>
      </c>
      <c r="L15" s="430" t="s">
        <v>570</v>
      </c>
      <c r="M15" s="429" t="s">
        <v>682</v>
      </c>
    </row>
    <row r="16" spans="1:13" ht="18" x14ac:dyDescent="0.35">
      <c r="A16" s="426" t="s">
        <v>627</v>
      </c>
      <c r="B16" s="438">
        <v>10</v>
      </c>
      <c r="C16" s="439" t="s">
        <v>1</v>
      </c>
      <c r="D16" s="450">
        <v>2</v>
      </c>
      <c r="E16" s="182"/>
      <c r="F16" s="429" t="s">
        <v>630</v>
      </c>
      <c r="H16" s="426" t="s">
        <v>524</v>
      </c>
      <c r="I16" s="427">
        <f>hsb1phouse!D187</f>
        <v>16.88</v>
      </c>
      <c r="J16" s="424" t="s">
        <v>1</v>
      </c>
      <c r="K16" s="450">
        <v>2</v>
      </c>
      <c r="L16" s="430" t="s">
        <v>571</v>
      </c>
      <c r="M16" s="429" t="s">
        <v>679</v>
      </c>
    </row>
    <row r="17" spans="1:13" ht="18" x14ac:dyDescent="0.35">
      <c r="A17" s="426" t="s">
        <v>513</v>
      </c>
      <c r="B17" s="433" t="s">
        <v>497</v>
      </c>
      <c r="D17" s="450">
        <v>2</v>
      </c>
      <c r="E17" s="430"/>
      <c r="F17" s="437" t="s">
        <v>692</v>
      </c>
      <c r="H17" s="426" t="s">
        <v>582</v>
      </c>
      <c r="I17" s="438">
        <f>hsb1phouse!D183</f>
        <v>7.4399999999999995</v>
      </c>
      <c r="J17" s="439" t="s">
        <v>1</v>
      </c>
      <c r="K17" s="450">
        <v>2</v>
      </c>
      <c r="L17" s="182" t="s">
        <v>583</v>
      </c>
      <c r="M17" s="429" t="s">
        <v>672</v>
      </c>
    </row>
    <row r="18" spans="1:13" ht="18" x14ac:dyDescent="0.35">
      <c r="A18" s="426" t="s">
        <v>529</v>
      </c>
      <c r="B18" s="427">
        <v>0</v>
      </c>
      <c r="C18" s="424" t="s">
        <v>1</v>
      </c>
      <c r="D18" s="450">
        <v>2</v>
      </c>
      <c r="E18" s="430" t="s">
        <v>575</v>
      </c>
      <c r="F18" s="437" t="s">
        <v>691</v>
      </c>
      <c r="H18" s="426" t="s">
        <v>525</v>
      </c>
      <c r="I18" s="427">
        <f>hsb1phouse!D193</f>
        <v>11.16</v>
      </c>
      <c r="J18" s="424" t="s">
        <v>1</v>
      </c>
      <c r="K18" s="450">
        <v>2</v>
      </c>
      <c r="L18" s="430" t="s">
        <v>572</v>
      </c>
      <c r="M18" s="429" t="s">
        <v>658</v>
      </c>
    </row>
    <row r="19" spans="1:13" ht="18" x14ac:dyDescent="0.35">
      <c r="H19" s="426" t="s">
        <v>526</v>
      </c>
      <c r="I19" s="427">
        <f>hsb1phouse!D199</f>
        <v>15.792000000000002</v>
      </c>
      <c r="J19" s="424" t="s">
        <v>1</v>
      </c>
      <c r="K19" s="450">
        <v>2</v>
      </c>
      <c r="L19" s="430" t="s">
        <v>573</v>
      </c>
      <c r="M19" s="429" t="s">
        <v>678</v>
      </c>
    </row>
    <row r="20" spans="1:13" x14ac:dyDescent="0.25">
      <c r="D20" s="450">
        <v>1</v>
      </c>
      <c r="F20" s="463" t="s">
        <v>696</v>
      </c>
      <c r="H20" s="426" t="s">
        <v>527</v>
      </c>
      <c r="I20" s="427">
        <f>hsb1phouse!C26+1</f>
        <v>501.3121568818882</v>
      </c>
      <c r="J20" s="424" t="s">
        <v>1</v>
      </c>
      <c r="K20" s="450">
        <v>2</v>
      </c>
      <c r="L20" s="430"/>
      <c r="M20" s="429" t="s">
        <v>675</v>
      </c>
    </row>
    <row r="21" spans="1:13" ht="18" x14ac:dyDescent="0.35">
      <c r="F21" s="463" t="s">
        <v>693</v>
      </c>
      <c r="H21" s="426" t="s">
        <v>528</v>
      </c>
      <c r="I21" s="427">
        <f>hsb1phouse!H16</f>
        <v>499.33666660284899</v>
      </c>
      <c r="J21" s="424" t="s">
        <v>1</v>
      </c>
      <c r="K21" s="450">
        <v>2</v>
      </c>
      <c r="L21" s="430" t="s">
        <v>574</v>
      </c>
      <c r="M21" s="429" t="s">
        <v>654</v>
      </c>
    </row>
    <row r="22" spans="1:13" ht="18" x14ac:dyDescent="0.35">
      <c r="D22" s="450">
        <v>2</v>
      </c>
      <c r="F22" s="463" t="s">
        <v>694</v>
      </c>
      <c r="H22" s="426" t="s">
        <v>529</v>
      </c>
      <c r="I22" s="427">
        <f>hsb1phouse!H17</f>
        <v>499.02004985595414</v>
      </c>
      <c r="J22" s="424" t="s">
        <v>1</v>
      </c>
      <c r="K22" s="450">
        <v>2</v>
      </c>
      <c r="L22" s="430" t="s">
        <v>575</v>
      </c>
      <c r="M22" s="429" t="s">
        <v>655</v>
      </c>
    </row>
    <row r="23" spans="1:13" ht="18" x14ac:dyDescent="0.35">
      <c r="F23" s="463" t="s">
        <v>695</v>
      </c>
      <c r="H23" s="426" t="s">
        <v>530</v>
      </c>
      <c r="I23" s="427">
        <f>hsb1phouse!D196</f>
        <v>10.08</v>
      </c>
      <c r="J23" s="424" t="s">
        <v>1</v>
      </c>
      <c r="K23" s="450">
        <v>2</v>
      </c>
      <c r="L23" s="430" t="s">
        <v>576</v>
      </c>
      <c r="M23" s="429" t="s">
        <v>657</v>
      </c>
    </row>
    <row r="24" spans="1:13" x14ac:dyDescent="0.25">
      <c r="H24" s="426" t="s">
        <v>531</v>
      </c>
      <c r="I24" s="427">
        <f>hsb1phouse!D167</f>
        <v>5.04</v>
      </c>
      <c r="J24" s="424" t="s">
        <v>1</v>
      </c>
      <c r="K24" s="450">
        <v>2</v>
      </c>
      <c r="L24" s="430" t="s">
        <v>461</v>
      </c>
      <c r="M24" s="429" t="s">
        <v>681</v>
      </c>
    </row>
    <row r="25" spans="1:13" x14ac:dyDescent="0.25">
      <c r="H25" s="426" t="s">
        <v>532</v>
      </c>
      <c r="I25" s="427">
        <f>hsb1phouse!D175</f>
        <v>10.752000000000001</v>
      </c>
      <c r="J25" s="424" t="s">
        <v>1</v>
      </c>
      <c r="K25" s="450">
        <v>2</v>
      </c>
      <c r="L25" s="430" t="s">
        <v>460</v>
      </c>
      <c r="M25" s="429" t="s">
        <v>683</v>
      </c>
    </row>
    <row r="26" spans="1:13" ht="18" x14ac:dyDescent="0.35">
      <c r="H26" s="426" t="s">
        <v>533</v>
      </c>
      <c r="I26" s="431">
        <v>1</v>
      </c>
      <c r="K26" s="450">
        <v>2</v>
      </c>
      <c r="L26" s="430" t="s">
        <v>577</v>
      </c>
      <c r="M26" s="429" t="s">
        <v>664</v>
      </c>
    </row>
    <row r="27" spans="1:13" ht="18" x14ac:dyDescent="0.35">
      <c r="H27" s="426" t="s">
        <v>534</v>
      </c>
      <c r="I27" s="427">
        <f>hsb1phouse!D171</f>
        <v>3.3180000000000005</v>
      </c>
      <c r="J27" s="424" t="s">
        <v>1</v>
      </c>
      <c r="K27" s="450">
        <v>2</v>
      </c>
      <c r="L27" s="430" t="s">
        <v>578</v>
      </c>
      <c r="M27" s="429" t="s">
        <v>665</v>
      </c>
    </row>
    <row r="28" spans="1:13" x14ac:dyDescent="0.25">
      <c r="H28" s="426" t="s">
        <v>535</v>
      </c>
      <c r="I28" s="427">
        <f>hsb1phouse!D173</f>
        <v>3.3180000000000005</v>
      </c>
      <c r="J28" s="424" t="s">
        <v>1</v>
      </c>
      <c r="K28" s="450">
        <v>2</v>
      </c>
      <c r="L28" s="430" t="s">
        <v>405</v>
      </c>
      <c r="M28" s="429" t="s">
        <v>663</v>
      </c>
    </row>
    <row r="29" spans="1:13" x14ac:dyDescent="0.25">
      <c r="H29" s="426" t="s">
        <v>624</v>
      </c>
      <c r="I29" s="427">
        <f>I7-4</f>
        <v>484.43664854259771</v>
      </c>
      <c r="J29" s="424" t="s">
        <v>1</v>
      </c>
      <c r="K29" s="450">
        <v>2</v>
      </c>
      <c r="L29" s="430"/>
      <c r="M29" s="429" t="s">
        <v>676</v>
      </c>
    </row>
    <row r="30" spans="1:13" x14ac:dyDescent="0.25">
      <c r="H30" s="426" t="s">
        <v>536</v>
      </c>
      <c r="I30" s="427">
        <f>I15-I28/2-3</f>
        <v>486.14014854259773</v>
      </c>
      <c r="J30" s="424" t="s">
        <v>1</v>
      </c>
      <c r="K30" s="450">
        <v>2</v>
      </c>
      <c r="L30" s="430"/>
      <c r="M30" s="429" t="s">
        <v>677</v>
      </c>
    </row>
    <row r="31" spans="1:13" ht="18" x14ac:dyDescent="0.35">
      <c r="H31" s="426" t="s">
        <v>537</v>
      </c>
      <c r="I31" s="427">
        <f>hsb1tailrace!D68</f>
        <v>14.879999999999999</v>
      </c>
      <c r="J31" s="424" t="s">
        <v>1</v>
      </c>
      <c r="K31" s="450">
        <v>2</v>
      </c>
      <c r="L31" s="430" t="s">
        <v>579</v>
      </c>
      <c r="M31" s="429" t="s">
        <v>653</v>
      </c>
    </row>
    <row r="32" spans="1:13" ht="18" x14ac:dyDescent="0.35">
      <c r="H32" s="426" t="s">
        <v>538</v>
      </c>
      <c r="I32" s="427">
        <f>hsb1tailrace!D72</f>
        <v>495.88741959924988</v>
      </c>
      <c r="J32" s="424" t="s">
        <v>1</v>
      </c>
      <c r="K32" s="450">
        <v>2</v>
      </c>
      <c r="L32" s="430" t="s">
        <v>580</v>
      </c>
      <c r="M32" s="429" t="s">
        <v>652</v>
      </c>
    </row>
    <row r="33" spans="7:13" x14ac:dyDescent="0.25">
      <c r="H33" s="426" t="s">
        <v>539</v>
      </c>
      <c r="I33" s="434">
        <f>hsb1intake!H297</f>
        <v>2</v>
      </c>
      <c r="K33" s="450">
        <v>2</v>
      </c>
      <c r="L33" s="430"/>
      <c r="M33" s="429" t="s">
        <v>646</v>
      </c>
    </row>
    <row r="34" spans="7:13" x14ac:dyDescent="0.25">
      <c r="H34" s="426" t="s">
        <v>540</v>
      </c>
      <c r="I34" s="434">
        <f>ROUND(hsb1intake!I297*convert!C2,-3)</f>
        <v>65000</v>
      </c>
      <c r="J34" s="424" t="s">
        <v>610</v>
      </c>
      <c r="K34" s="450">
        <v>2</v>
      </c>
      <c r="L34" s="430"/>
      <c r="M34" s="429" t="s">
        <v>645</v>
      </c>
    </row>
    <row r="35" spans="7:13" x14ac:dyDescent="0.25">
      <c r="H35" s="426" t="s">
        <v>541</v>
      </c>
      <c r="I35" s="434">
        <f>ROUND(hsb1intake!I299*convert!C2,-3)</f>
        <v>135000</v>
      </c>
      <c r="J35" s="424" t="s">
        <v>610</v>
      </c>
      <c r="K35" s="450">
        <v>2</v>
      </c>
      <c r="L35" s="430"/>
      <c r="M35" s="429" t="s">
        <v>638</v>
      </c>
    </row>
    <row r="36" spans="7:13" x14ac:dyDescent="0.25">
      <c r="G36" s="435" t="s">
        <v>555</v>
      </c>
      <c r="H36" s="426" t="s">
        <v>542</v>
      </c>
      <c r="I36" s="434">
        <f>ROUND(hsb1intake!J300*1000*convert!C2,-3)</f>
        <v>283000</v>
      </c>
      <c r="J36" s="424" t="s">
        <v>610</v>
      </c>
      <c r="K36" s="450">
        <v>2</v>
      </c>
      <c r="L36" s="430"/>
      <c r="M36" s="429" t="s">
        <v>643</v>
      </c>
    </row>
    <row r="37" spans="7:13" x14ac:dyDescent="0.25">
      <c r="H37" s="426" t="s">
        <v>543</v>
      </c>
      <c r="I37" s="434">
        <f>ROUND(hsb1intake!J298*1000*convert!C2,-3)</f>
        <v>237000</v>
      </c>
      <c r="J37" s="424" t="s">
        <v>610</v>
      </c>
      <c r="K37" s="450">
        <v>2</v>
      </c>
      <c r="L37" s="430"/>
      <c r="M37" s="429" t="s">
        <v>639</v>
      </c>
    </row>
    <row r="38" spans="7:13" x14ac:dyDescent="0.25">
      <c r="H38" s="426" t="s">
        <v>544</v>
      </c>
      <c r="I38" s="434">
        <f>hsb1phouse!H506</f>
        <v>2</v>
      </c>
      <c r="K38" s="450">
        <v>2</v>
      </c>
      <c r="L38" s="430"/>
      <c r="M38" s="429" t="s">
        <v>685</v>
      </c>
    </row>
    <row r="39" spans="7:13" x14ac:dyDescent="0.25">
      <c r="H39" s="426" t="s">
        <v>545</v>
      </c>
      <c r="I39" s="434">
        <f>ROUND(hsb1phouse!I506*convert!C2,-5)</f>
        <v>3200000</v>
      </c>
      <c r="J39" s="424" t="s">
        <v>610</v>
      </c>
      <c r="K39" s="450">
        <v>2</v>
      </c>
      <c r="L39" s="430"/>
      <c r="M39" s="429" t="s">
        <v>680</v>
      </c>
    </row>
    <row r="40" spans="7:13" x14ac:dyDescent="0.25">
      <c r="H40" s="426" t="s">
        <v>546</v>
      </c>
      <c r="I40" s="434">
        <f>hsb1phouse!H507</f>
        <v>2</v>
      </c>
      <c r="K40" s="450">
        <v>2</v>
      </c>
      <c r="L40" s="430"/>
      <c r="M40" s="429" t="s">
        <v>668</v>
      </c>
    </row>
    <row r="41" spans="7:13" x14ac:dyDescent="0.25">
      <c r="H41" s="426" t="s">
        <v>547</v>
      </c>
      <c r="I41" s="434">
        <f>ROUND(hsb1phouse!I507*convert!C2,-5)</f>
        <v>1800000</v>
      </c>
      <c r="J41" s="424" t="s">
        <v>610</v>
      </c>
      <c r="K41" s="450">
        <v>2</v>
      </c>
      <c r="L41" s="430"/>
      <c r="M41" s="429" t="s">
        <v>667</v>
      </c>
    </row>
    <row r="42" spans="7:13" x14ac:dyDescent="0.25">
      <c r="H42" s="426" t="s">
        <v>548</v>
      </c>
      <c r="I42" s="434">
        <f>hsb1phouse!H504</f>
        <v>2</v>
      </c>
      <c r="K42" s="450">
        <v>2</v>
      </c>
      <c r="L42" s="430"/>
      <c r="M42" s="429" t="s">
        <v>662</v>
      </c>
    </row>
    <row r="43" spans="7:13" x14ac:dyDescent="0.25">
      <c r="H43" s="426" t="s">
        <v>549</v>
      </c>
      <c r="I43" s="434">
        <f>ROUND(hsb1phouse!I504*convert!C2,-3)</f>
        <v>28000</v>
      </c>
      <c r="J43" s="424" t="s">
        <v>610</v>
      </c>
      <c r="K43" s="450">
        <v>2</v>
      </c>
      <c r="L43" s="430"/>
      <c r="M43" s="429" t="s">
        <v>661</v>
      </c>
    </row>
    <row r="44" spans="7:13" x14ac:dyDescent="0.25">
      <c r="H44" s="426" t="s">
        <v>550</v>
      </c>
      <c r="I44" s="434" t="e">
        <f>ROUND(hsb1phouse!I518*convert!C2,-3)</f>
        <v>#VALUE!</v>
      </c>
      <c r="J44" s="424" t="s">
        <v>610</v>
      </c>
      <c r="K44" s="450">
        <v>2</v>
      </c>
      <c r="L44" s="430"/>
      <c r="M44" s="429" t="s">
        <v>673</v>
      </c>
    </row>
    <row r="45" spans="7:13" x14ac:dyDescent="0.25">
      <c r="H45" s="426" t="s">
        <v>551</v>
      </c>
      <c r="I45" s="434" t="e">
        <f>ROUND(hsb1phouse!I519*convert!C2,-3)</f>
        <v>#VALUE!</v>
      </c>
      <c r="J45" s="424" t="s">
        <v>610</v>
      </c>
      <c r="K45" s="450">
        <v>2</v>
      </c>
      <c r="L45" s="430"/>
      <c r="M45" s="429" t="s">
        <v>666</v>
      </c>
    </row>
    <row r="46" spans="7:13" x14ac:dyDescent="0.25">
      <c r="H46" s="426" t="s">
        <v>552</v>
      </c>
      <c r="I46" s="434">
        <f>ROUND(hsb1phouse!J508*1000*convert!C2,-3)</f>
        <v>79000</v>
      </c>
      <c r="J46" s="424" t="s">
        <v>610</v>
      </c>
      <c r="K46" s="450">
        <v>2</v>
      </c>
      <c r="L46" s="430"/>
      <c r="M46" s="429" t="s">
        <v>660</v>
      </c>
    </row>
    <row r="47" spans="7:13" x14ac:dyDescent="0.25">
      <c r="H47" s="426" t="s">
        <v>553</v>
      </c>
      <c r="I47" s="434">
        <f>ROUND(hsb1phouse!J488*1000*convert!C2,-3)</f>
        <v>0</v>
      </c>
      <c r="J47" s="424" t="s">
        <v>610</v>
      </c>
      <c r="K47" s="450">
        <v>2</v>
      </c>
      <c r="L47" s="430"/>
      <c r="M47" s="429" t="s">
        <v>670</v>
      </c>
    </row>
    <row r="48" spans="7:13" x14ac:dyDescent="0.25">
      <c r="H48" s="426" t="s">
        <v>554</v>
      </c>
      <c r="I48" s="434">
        <f>ROUND(hsb1phouse!J499*1000*convert!C2,-4)</f>
        <v>0</v>
      </c>
      <c r="J48" s="424" t="s">
        <v>610</v>
      </c>
      <c r="K48" s="450">
        <v>2</v>
      </c>
      <c r="L48" s="430"/>
      <c r="M48" s="429" t="s">
        <v>669</v>
      </c>
    </row>
    <row r="49" spans="8:13" x14ac:dyDescent="0.25">
      <c r="H49" s="426" t="s">
        <v>584</v>
      </c>
      <c r="I49" s="440">
        <f>hsb1phouse!H260</f>
        <v>3101.2172213516633</v>
      </c>
      <c r="J49" t="s">
        <v>54</v>
      </c>
      <c r="K49" s="450">
        <v>2</v>
      </c>
      <c r="L49" s="430"/>
      <c r="M49" s="429" t="s">
        <v>674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14"/>
  <sheetViews>
    <sheetView topLeftCell="A73" workbookViewId="0">
      <selection activeCell="E89" sqref="E89"/>
    </sheetView>
  </sheetViews>
  <sheetFormatPr defaultColWidth="11.42578125" defaultRowHeight="12.75" x14ac:dyDescent="0.2"/>
  <cols>
    <col min="1" max="1" width="12.7109375" style="2" customWidth="1"/>
    <col min="2" max="2" width="12.85546875" style="2" customWidth="1"/>
    <col min="3" max="3" width="13.7109375" style="2" customWidth="1"/>
    <col min="4" max="5" width="12.42578125" style="2" customWidth="1"/>
    <col min="6" max="6" width="34.28515625" style="5" customWidth="1"/>
    <col min="7" max="7" width="12.42578125" style="2" customWidth="1"/>
    <col min="8" max="8" width="14" style="2" customWidth="1"/>
    <col min="9" max="9" width="13" style="2" customWidth="1"/>
    <col min="10" max="11" width="12.42578125" style="2" customWidth="1"/>
    <col min="12" max="256" width="11.42578125" style="2"/>
    <col min="257" max="257" width="12.7109375" style="2" customWidth="1"/>
    <col min="258" max="258" width="12.85546875" style="2" customWidth="1"/>
    <col min="259" max="259" width="13.7109375" style="2" customWidth="1"/>
    <col min="260" max="263" width="12.42578125" style="2" customWidth="1"/>
    <col min="264" max="264" width="14" style="2" customWidth="1"/>
    <col min="265" max="265" width="11.85546875" style="2" customWidth="1"/>
    <col min="266" max="267" width="12.42578125" style="2" customWidth="1"/>
    <col min="268" max="512" width="11.42578125" style="2"/>
    <col min="513" max="513" width="12.7109375" style="2" customWidth="1"/>
    <col min="514" max="514" width="12.85546875" style="2" customWidth="1"/>
    <col min="515" max="515" width="13.7109375" style="2" customWidth="1"/>
    <col min="516" max="519" width="12.42578125" style="2" customWidth="1"/>
    <col min="520" max="520" width="14" style="2" customWidth="1"/>
    <col min="521" max="521" width="11.85546875" style="2" customWidth="1"/>
    <col min="522" max="523" width="12.42578125" style="2" customWidth="1"/>
    <col min="524" max="768" width="11.42578125" style="2"/>
    <col min="769" max="769" width="12.7109375" style="2" customWidth="1"/>
    <col min="770" max="770" width="12.85546875" style="2" customWidth="1"/>
    <col min="771" max="771" width="13.7109375" style="2" customWidth="1"/>
    <col min="772" max="775" width="12.42578125" style="2" customWidth="1"/>
    <col min="776" max="776" width="14" style="2" customWidth="1"/>
    <col min="777" max="777" width="11.85546875" style="2" customWidth="1"/>
    <col min="778" max="779" width="12.42578125" style="2" customWidth="1"/>
    <col min="780" max="1024" width="11.42578125" style="2"/>
    <col min="1025" max="1025" width="12.7109375" style="2" customWidth="1"/>
    <col min="1026" max="1026" width="12.85546875" style="2" customWidth="1"/>
    <col min="1027" max="1027" width="13.7109375" style="2" customWidth="1"/>
    <col min="1028" max="1031" width="12.42578125" style="2" customWidth="1"/>
    <col min="1032" max="1032" width="14" style="2" customWidth="1"/>
    <col min="1033" max="1033" width="11.85546875" style="2" customWidth="1"/>
    <col min="1034" max="1035" width="12.42578125" style="2" customWidth="1"/>
    <col min="1036" max="1280" width="11.42578125" style="2"/>
    <col min="1281" max="1281" width="12.7109375" style="2" customWidth="1"/>
    <col min="1282" max="1282" width="12.85546875" style="2" customWidth="1"/>
    <col min="1283" max="1283" width="13.7109375" style="2" customWidth="1"/>
    <col min="1284" max="1287" width="12.42578125" style="2" customWidth="1"/>
    <col min="1288" max="1288" width="14" style="2" customWidth="1"/>
    <col min="1289" max="1289" width="11.85546875" style="2" customWidth="1"/>
    <col min="1290" max="1291" width="12.42578125" style="2" customWidth="1"/>
    <col min="1292" max="1536" width="11.42578125" style="2"/>
    <col min="1537" max="1537" width="12.7109375" style="2" customWidth="1"/>
    <col min="1538" max="1538" width="12.85546875" style="2" customWidth="1"/>
    <col min="1539" max="1539" width="13.7109375" style="2" customWidth="1"/>
    <col min="1540" max="1543" width="12.42578125" style="2" customWidth="1"/>
    <col min="1544" max="1544" width="14" style="2" customWidth="1"/>
    <col min="1545" max="1545" width="11.85546875" style="2" customWidth="1"/>
    <col min="1546" max="1547" width="12.42578125" style="2" customWidth="1"/>
    <col min="1548" max="1792" width="11.42578125" style="2"/>
    <col min="1793" max="1793" width="12.7109375" style="2" customWidth="1"/>
    <col min="1794" max="1794" width="12.85546875" style="2" customWidth="1"/>
    <col min="1795" max="1795" width="13.7109375" style="2" customWidth="1"/>
    <col min="1796" max="1799" width="12.42578125" style="2" customWidth="1"/>
    <col min="1800" max="1800" width="14" style="2" customWidth="1"/>
    <col min="1801" max="1801" width="11.85546875" style="2" customWidth="1"/>
    <col min="1802" max="1803" width="12.42578125" style="2" customWidth="1"/>
    <col min="1804" max="2048" width="11.42578125" style="2"/>
    <col min="2049" max="2049" width="12.7109375" style="2" customWidth="1"/>
    <col min="2050" max="2050" width="12.85546875" style="2" customWidth="1"/>
    <col min="2051" max="2051" width="13.7109375" style="2" customWidth="1"/>
    <col min="2052" max="2055" width="12.42578125" style="2" customWidth="1"/>
    <col min="2056" max="2056" width="14" style="2" customWidth="1"/>
    <col min="2057" max="2057" width="11.85546875" style="2" customWidth="1"/>
    <col min="2058" max="2059" width="12.42578125" style="2" customWidth="1"/>
    <col min="2060" max="2304" width="11.42578125" style="2"/>
    <col min="2305" max="2305" width="12.7109375" style="2" customWidth="1"/>
    <col min="2306" max="2306" width="12.85546875" style="2" customWidth="1"/>
    <col min="2307" max="2307" width="13.7109375" style="2" customWidth="1"/>
    <col min="2308" max="2311" width="12.42578125" style="2" customWidth="1"/>
    <col min="2312" max="2312" width="14" style="2" customWidth="1"/>
    <col min="2313" max="2313" width="11.85546875" style="2" customWidth="1"/>
    <col min="2314" max="2315" width="12.42578125" style="2" customWidth="1"/>
    <col min="2316" max="2560" width="11.42578125" style="2"/>
    <col min="2561" max="2561" width="12.7109375" style="2" customWidth="1"/>
    <col min="2562" max="2562" width="12.85546875" style="2" customWidth="1"/>
    <col min="2563" max="2563" width="13.7109375" style="2" customWidth="1"/>
    <col min="2564" max="2567" width="12.42578125" style="2" customWidth="1"/>
    <col min="2568" max="2568" width="14" style="2" customWidth="1"/>
    <col min="2569" max="2569" width="11.85546875" style="2" customWidth="1"/>
    <col min="2570" max="2571" width="12.42578125" style="2" customWidth="1"/>
    <col min="2572" max="2816" width="11.42578125" style="2"/>
    <col min="2817" max="2817" width="12.7109375" style="2" customWidth="1"/>
    <col min="2818" max="2818" width="12.85546875" style="2" customWidth="1"/>
    <col min="2819" max="2819" width="13.7109375" style="2" customWidth="1"/>
    <col min="2820" max="2823" width="12.42578125" style="2" customWidth="1"/>
    <col min="2824" max="2824" width="14" style="2" customWidth="1"/>
    <col min="2825" max="2825" width="11.85546875" style="2" customWidth="1"/>
    <col min="2826" max="2827" width="12.42578125" style="2" customWidth="1"/>
    <col min="2828" max="3072" width="11.42578125" style="2"/>
    <col min="3073" max="3073" width="12.7109375" style="2" customWidth="1"/>
    <col min="3074" max="3074" width="12.85546875" style="2" customWidth="1"/>
    <col min="3075" max="3075" width="13.7109375" style="2" customWidth="1"/>
    <col min="3076" max="3079" width="12.42578125" style="2" customWidth="1"/>
    <col min="3080" max="3080" width="14" style="2" customWidth="1"/>
    <col min="3081" max="3081" width="11.85546875" style="2" customWidth="1"/>
    <col min="3082" max="3083" width="12.42578125" style="2" customWidth="1"/>
    <col min="3084" max="3328" width="11.42578125" style="2"/>
    <col min="3329" max="3329" width="12.7109375" style="2" customWidth="1"/>
    <col min="3330" max="3330" width="12.85546875" style="2" customWidth="1"/>
    <col min="3331" max="3331" width="13.7109375" style="2" customWidth="1"/>
    <col min="3332" max="3335" width="12.42578125" style="2" customWidth="1"/>
    <col min="3336" max="3336" width="14" style="2" customWidth="1"/>
    <col min="3337" max="3337" width="11.85546875" style="2" customWidth="1"/>
    <col min="3338" max="3339" width="12.42578125" style="2" customWidth="1"/>
    <col min="3340" max="3584" width="11.42578125" style="2"/>
    <col min="3585" max="3585" width="12.7109375" style="2" customWidth="1"/>
    <col min="3586" max="3586" width="12.85546875" style="2" customWidth="1"/>
    <col min="3587" max="3587" width="13.7109375" style="2" customWidth="1"/>
    <col min="3588" max="3591" width="12.42578125" style="2" customWidth="1"/>
    <col min="3592" max="3592" width="14" style="2" customWidth="1"/>
    <col min="3593" max="3593" width="11.85546875" style="2" customWidth="1"/>
    <col min="3594" max="3595" width="12.42578125" style="2" customWidth="1"/>
    <col min="3596" max="3840" width="11.42578125" style="2"/>
    <col min="3841" max="3841" width="12.7109375" style="2" customWidth="1"/>
    <col min="3842" max="3842" width="12.85546875" style="2" customWidth="1"/>
    <col min="3843" max="3843" width="13.7109375" style="2" customWidth="1"/>
    <col min="3844" max="3847" width="12.42578125" style="2" customWidth="1"/>
    <col min="3848" max="3848" width="14" style="2" customWidth="1"/>
    <col min="3849" max="3849" width="11.85546875" style="2" customWidth="1"/>
    <col min="3850" max="3851" width="12.42578125" style="2" customWidth="1"/>
    <col min="3852" max="4096" width="11.42578125" style="2"/>
    <col min="4097" max="4097" width="12.7109375" style="2" customWidth="1"/>
    <col min="4098" max="4098" width="12.85546875" style="2" customWidth="1"/>
    <col min="4099" max="4099" width="13.7109375" style="2" customWidth="1"/>
    <col min="4100" max="4103" width="12.42578125" style="2" customWidth="1"/>
    <col min="4104" max="4104" width="14" style="2" customWidth="1"/>
    <col min="4105" max="4105" width="11.85546875" style="2" customWidth="1"/>
    <col min="4106" max="4107" width="12.42578125" style="2" customWidth="1"/>
    <col min="4108" max="4352" width="11.42578125" style="2"/>
    <col min="4353" max="4353" width="12.7109375" style="2" customWidth="1"/>
    <col min="4354" max="4354" width="12.85546875" style="2" customWidth="1"/>
    <col min="4355" max="4355" width="13.7109375" style="2" customWidth="1"/>
    <col min="4356" max="4359" width="12.42578125" style="2" customWidth="1"/>
    <col min="4360" max="4360" width="14" style="2" customWidth="1"/>
    <col min="4361" max="4361" width="11.85546875" style="2" customWidth="1"/>
    <col min="4362" max="4363" width="12.42578125" style="2" customWidth="1"/>
    <col min="4364" max="4608" width="11.42578125" style="2"/>
    <col min="4609" max="4609" width="12.7109375" style="2" customWidth="1"/>
    <col min="4610" max="4610" width="12.85546875" style="2" customWidth="1"/>
    <col min="4611" max="4611" width="13.7109375" style="2" customWidth="1"/>
    <col min="4612" max="4615" width="12.42578125" style="2" customWidth="1"/>
    <col min="4616" max="4616" width="14" style="2" customWidth="1"/>
    <col min="4617" max="4617" width="11.85546875" style="2" customWidth="1"/>
    <col min="4618" max="4619" width="12.42578125" style="2" customWidth="1"/>
    <col min="4620" max="4864" width="11.42578125" style="2"/>
    <col min="4865" max="4865" width="12.7109375" style="2" customWidth="1"/>
    <col min="4866" max="4866" width="12.85546875" style="2" customWidth="1"/>
    <col min="4867" max="4867" width="13.7109375" style="2" customWidth="1"/>
    <col min="4868" max="4871" width="12.42578125" style="2" customWidth="1"/>
    <col min="4872" max="4872" width="14" style="2" customWidth="1"/>
    <col min="4873" max="4873" width="11.85546875" style="2" customWidth="1"/>
    <col min="4874" max="4875" width="12.42578125" style="2" customWidth="1"/>
    <col min="4876" max="5120" width="11.42578125" style="2"/>
    <col min="5121" max="5121" width="12.7109375" style="2" customWidth="1"/>
    <col min="5122" max="5122" width="12.85546875" style="2" customWidth="1"/>
    <col min="5123" max="5123" width="13.7109375" style="2" customWidth="1"/>
    <col min="5124" max="5127" width="12.42578125" style="2" customWidth="1"/>
    <col min="5128" max="5128" width="14" style="2" customWidth="1"/>
    <col min="5129" max="5129" width="11.85546875" style="2" customWidth="1"/>
    <col min="5130" max="5131" width="12.42578125" style="2" customWidth="1"/>
    <col min="5132" max="5376" width="11.42578125" style="2"/>
    <col min="5377" max="5377" width="12.7109375" style="2" customWidth="1"/>
    <col min="5378" max="5378" width="12.85546875" style="2" customWidth="1"/>
    <col min="5379" max="5379" width="13.7109375" style="2" customWidth="1"/>
    <col min="5380" max="5383" width="12.42578125" style="2" customWidth="1"/>
    <col min="5384" max="5384" width="14" style="2" customWidth="1"/>
    <col min="5385" max="5385" width="11.85546875" style="2" customWidth="1"/>
    <col min="5386" max="5387" width="12.42578125" style="2" customWidth="1"/>
    <col min="5388" max="5632" width="11.42578125" style="2"/>
    <col min="5633" max="5633" width="12.7109375" style="2" customWidth="1"/>
    <col min="5634" max="5634" width="12.85546875" style="2" customWidth="1"/>
    <col min="5635" max="5635" width="13.7109375" style="2" customWidth="1"/>
    <col min="5636" max="5639" width="12.42578125" style="2" customWidth="1"/>
    <col min="5640" max="5640" width="14" style="2" customWidth="1"/>
    <col min="5641" max="5641" width="11.85546875" style="2" customWidth="1"/>
    <col min="5642" max="5643" width="12.42578125" style="2" customWidth="1"/>
    <col min="5644" max="5888" width="11.42578125" style="2"/>
    <col min="5889" max="5889" width="12.7109375" style="2" customWidth="1"/>
    <col min="5890" max="5890" width="12.85546875" style="2" customWidth="1"/>
    <col min="5891" max="5891" width="13.7109375" style="2" customWidth="1"/>
    <col min="5892" max="5895" width="12.42578125" style="2" customWidth="1"/>
    <col min="5896" max="5896" width="14" style="2" customWidth="1"/>
    <col min="5897" max="5897" width="11.85546875" style="2" customWidth="1"/>
    <col min="5898" max="5899" width="12.42578125" style="2" customWidth="1"/>
    <col min="5900" max="6144" width="11.42578125" style="2"/>
    <col min="6145" max="6145" width="12.7109375" style="2" customWidth="1"/>
    <col min="6146" max="6146" width="12.85546875" style="2" customWidth="1"/>
    <col min="6147" max="6147" width="13.7109375" style="2" customWidth="1"/>
    <col min="6148" max="6151" width="12.42578125" style="2" customWidth="1"/>
    <col min="6152" max="6152" width="14" style="2" customWidth="1"/>
    <col min="6153" max="6153" width="11.85546875" style="2" customWidth="1"/>
    <col min="6154" max="6155" width="12.42578125" style="2" customWidth="1"/>
    <col min="6156" max="6400" width="11.42578125" style="2"/>
    <col min="6401" max="6401" width="12.7109375" style="2" customWidth="1"/>
    <col min="6402" max="6402" width="12.85546875" style="2" customWidth="1"/>
    <col min="6403" max="6403" width="13.7109375" style="2" customWidth="1"/>
    <col min="6404" max="6407" width="12.42578125" style="2" customWidth="1"/>
    <col min="6408" max="6408" width="14" style="2" customWidth="1"/>
    <col min="6409" max="6409" width="11.85546875" style="2" customWidth="1"/>
    <col min="6410" max="6411" width="12.42578125" style="2" customWidth="1"/>
    <col min="6412" max="6656" width="11.42578125" style="2"/>
    <col min="6657" max="6657" width="12.7109375" style="2" customWidth="1"/>
    <col min="6658" max="6658" width="12.85546875" style="2" customWidth="1"/>
    <col min="6659" max="6659" width="13.7109375" style="2" customWidth="1"/>
    <col min="6660" max="6663" width="12.42578125" style="2" customWidth="1"/>
    <col min="6664" max="6664" width="14" style="2" customWidth="1"/>
    <col min="6665" max="6665" width="11.85546875" style="2" customWidth="1"/>
    <col min="6666" max="6667" width="12.42578125" style="2" customWidth="1"/>
    <col min="6668" max="6912" width="11.42578125" style="2"/>
    <col min="6913" max="6913" width="12.7109375" style="2" customWidth="1"/>
    <col min="6914" max="6914" width="12.85546875" style="2" customWidth="1"/>
    <col min="6915" max="6915" width="13.7109375" style="2" customWidth="1"/>
    <col min="6916" max="6919" width="12.42578125" style="2" customWidth="1"/>
    <col min="6920" max="6920" width="14" style="2" customWidth="1"/>
    <col min="6921" max="6921" width="11.85546875" style="2" customWidth="1"/>
    <col min="6922" max="6923" width="12.42578125" style="2" customWidth="1"/>
    <col min="6924" max="7168" width="11.42578125" style="2"/>
    <col min="7169" max="7169" width="12.7109375" style="2" customWidth="1"/>
    <col min="7170" max="7170" width="12.85546875" style="2" customWidth="1"/>
    <col min="7171" max="7171" width="13.7109375" style="2" customWidth="1"/>
    <col min="7172" max="7175" width="12.42578125" style="2" customWidth="1"/>
    <col min="7176" max="7176" width="14" style="2" customWidth="1"/>
    <col min="7177" max="7177" width="11.85546875" style="2" customWidth="1"/>
    <col min="7178" max="7179" width="12.42578125" style="2" customWidth="1"/>
    <col min="7180" max="7424" width="11.42578125" style="2"/>
    <col min="7425" max="7425" width="12.7109375" style="2" customWidth="1"/>
    <col min="7426" max="7426" width="12.85546875" style="2" customWidth="1"/>
    <col min="7427" max="7427" width="13.7109375" style="2" customWidth="1"/>
    <col min="7428" max="7431" width="12.42578125" style="2" customWidth="1"/>
    <col min="7432" max="7432" width="14" style="2" customWidth="1"/>
    <col min="7433" max="7433" width="11.85546875" style="2" customWidth="1"/>
    <col min="7434" max="7435" width="12.42578125" style="2" customWidth="1"/>
    <col min="7436" max="7680" width="11.42578125" style="2"/>
    <col min="7681" max="7681" width="12.7109375" style="2" customWidth="1"/>
    <col min="7682" max="7682" width="12.85546875" style="2" customWidth="1"/>
    <col min="7683" max="7683" width="13.7109375" style="2" customWidth="1"/>
    <col min="7684" max="7687" width="12.42578125" style="2" customWidth="1"/>
    <col min="7688" max="7688" width="14" style="2" customWidth="1"/>
    <col min="7689" max="7689" width="11.85546875" style="2" customWidth="1"/>
    <col min="7690" max="7691" width="12.42578125" style="2" customWidth="1"/>
    <col min="7692" max="7936" width="11.42578125" style="2"/>
    <col min="7937" max="7937" width="12.7109375" style="2" customWidth="1"/>
    <col min="7938" max="7938" width="12.85546875" style="2" customWidth="1"/>
    <col min="7939" max="7939" width="13.7109375" style="2" customWidth="1"/>
    <col min="7940" max="7943" width="12.42578125" style="2" customWidth="1"/>
    <col min="7944" max="7944" width="14" style="2" customWidth="1"/>
    <col min="7945" max="7945" width="11.85546875" style="2" customWidth="1"/>
    <col min="7946" max="7947" width="12.42578125" style="2" customWidth="1"/>
    <col min="7948" max="8192" width="11.42578125" style="2"/>
    <col min="8193" max="8193" width="12.7109375" style="2" customWidth="1"/>
    <col min="8194" max="8194" width="12.85546875" style="2" customWidth="1"/>
    <col min="8195" max="8195" width="13.7109375" style="2" customWidth="1"/>
    <col min="8196" max="8199" width="12.42578125" style="2" customWidth="1"/>
    <col min="8200" max="8200" width="14" style="2" customWidth="1"/>
    <col min="8201" max="8201" width="11.85546875" style="2" customWidth="1"/>
    <col min="8202" max="8203" width="12.42578125" style="2" customWidth="1"/>
    <col min="8204" max="8448" width="11.42578125" style="2"/>
    <col min="8449" max="8449" width="12.7109375" style="2" customWidth="1"/>
    <col min="8450" max="8450" width="12.85546875" style="2" customWidth="1"/>
    <col min="8451" max="8451" width="13.7109375" style="2" customWidth="1"/>
    <col min="8452" max="8455" width="12.42578125" style="2" customWidth="1"/>
    <col min="8456" max="8456" width="14" style="2" customWidth="1"/>
    <col min="8457" max="8457" width="11.85546875" style="2" customWidth="1"/>
    <col min="8458" max="8459" width="12.42578125" style="2" customWidth="1"/>
    <col min="8460" max="8704" width="11.42578125" style="2"/>
    <col min="8705" max="8705" width="12.7109375" style="2" customWidth="1"/>
    <col min="8706" max="8706" width="12.85546875" style="2" customWidth="1"/>
    <col min="8707" max="8707" width="13.7109375" style="2" customWidth="1"/>
    <col min="8708" max="8711" width="12.42578125" style="2" customWidth="1"/>
    <col min="8712" max="8712" width="14" style="2" customWidth="1"/>
    <col min="8713" max="8713" width="11.85546875" style="2" customWidth="1"/>
    <col min="8714" max="8715" width="12.42578125" style="2" customWidth="1"/>
    <col min="8716" max="8960" width="11.42578125" style="2"/>
    <col min="8961" max="8961" width="12.7109375" style="2" customWidth="1"/>
    <col min="8962" max="8962" width="12.85546875" style="2" customWidth="1"/>
    <col min="8963" max="8963" width="13.7109375" style="2" customWidth="1"/>
    <col min="8964" max="8967" width="12.42578125" style="2" customWidth="1"/>
    <col min="8968" max="8968" width="14" style="2" customWidth="1"/>
    <col min="8969" max="8969" width="11.85546875" style="2" customWidth="1"/>
    <col min="8970" max="8971" width="12.42578125" style="2" customWidth="1"/>
    <col min="8972" max="9216" width="11.42578125" style="2"/>
    <col min="9217" max="9217" width="12.7109375" style="2" customWidth="1"/>
    <col min="9218" max="9218" width="12.85546875" style="2" customWidth="1"/>
    <col min="9219" max="9219" width="13.7109375" style="2" customWidth="1"/>
    <col min="9220" max="9223" width="12.42578125" style="2" customWidth="1"/>
    <col min="9224" max="9224" width="14" style="2" customWidth="1"/>
    <col min="9225" max="9225" width="11.85546875" style="2" customWidth="1"/>
    <col min="9226" max="9227" width="12.42578125" style="2" customWidth="1"/>
    <col min="9228" max="9472" width="11.42578125" style="2"/>
    <col min="9473" max="9473" width="12.7109375" style="2" customWidth="1"/>
    <col min="9474" max="9474" width="12.85546875" style="2" customWidth="1"/>
    <col min="9475" max="9475" width="13.7109375" style="2" customWidth="1"/>
    <col min="9476" max="9479" width="12.42578125" style="2" customWidth="1"/>
    <col min="9480" max="9480" width="14" style="2" customWidth="1"/>
    <col min="9481" max="9481" width="11.85546875" style="2" customWidth="1"/>
    <col min="9482" max="9483" width="12.42578125" style="2" customWidth="1"/>
    <col min="9484" max="9728" width="11.42578125" style="2"/>
    <col min="9729" max="9729" width="12.7109375" style="2" customWidth="1"/>
    <col min="9730" max="9730" width="12.85546875" style="2" customWidth="1"/>
    <col min="9731" max="9731" width="13.7109375" style="2" customWidth="1"/>
    <col min="9732" max="9735" width="12.42578125" style="2" customWidth="1"/>
    <col min="9736" max="9736" width="14" style="2" customWidth="1"/>
    <col min="9737" max="9737" width="11.85546875" style="2" customWidth="1"/>
    <col min="9738" max="9739" width="12.42578125" style="2" customWidth="1"/>
    <col min="9740" max="9984" width="11.42578125" style="2"/>
    <col min="9985" max="9985" width="12.7109375" style="2" customWidth="1"/>
    <col min="9986" max="9986" width="12.85546875" style="2" customWidth="1"/>
    <col min="9987" max="9987" width="13.7109375" style="2" customWidth="1"/>
    <col min="9988" max="9991" width="12.42578125" style="2" customWidth="1"/>
    <col min="9992" max="9992" width="14" style="2" customWidth="1"/>
    <col min="9993" max="9993" width="11.85546875" style="2" customWidth="1"/>
    <col min="9994" max="9995" width="12.42578125" style="2" customWidth="1"/>
    <col min="9996" max="10240" width="11.42578125" style="2"/>
    <col min="10241" max="10241" width="12.7109375" style="2" customWidth="1"/>
    <col min="10242" max="10242" width="12.85546875" style="2" customWidth="1"/>
    <col min="10243" max="10243" width="13.7109375" style="2" customWidth="1"/>
    <col min="10244" max="10247" width="12.42578125" style="2" customWidth="1"/>
    <col min="10248" max="10248" width="14" style="2" customWidth="1"/>
    <col min="10249" max="10249" width="11.85546875" style="2" customWidth="1"/>
    <col min="10250" max="10251" width="12.42578125" style="2" customWidth="1"/>
    <col min="10252" max="10496" width="11.42578125" style="2"/>
    <col min="10497" max="10497" width="12.7109375" style="2" customWidth="1"/>
    <col min="10498" max="10498" width="12.85546875" style="2" customWidth="1"/>
    <col min="10499" max="10499" width="13.7109375" style="2" customWidth="1"/>
    <col min="10500" max="10503" width="12.42578125" style="2" customWidth="1"/>
    <col min="10504" max="10504" width="14" style="2" customWidth="1"/>
    <col min="10505" max="10505" width="11.85546875" style="2" customWidth="1"/>
    <col min="10506" max="10507" width="12.42578125" style="2" customWidth="1"/>
    <col min="10508" max="10752" width="11.42578125" style="2"/>
    <col min="10753" max="10753" width="12.7109375" style="2" customWidth="1"/>
    <col min="10754" max="10754" width="12.85546875" style="2" customWidth="1"/>
    <col min="10755" max="10755" width="13.7109375" style="2" customWidth="1"/>
    <col min="10756" max="10759" width="12.42578125" style="2" customWidth="1"/>
    <col min="10760" max="10760" width="14" style="2" customWidth="1"/>
    <col min="10761" max="10761" width="11.85546875" style="2" customWidth="1"/>
    <col min="10762" max="10763" width="12.42578125" style="2" customWidth="1"/>
    <col min="10764" max="11008" width="11.42578125" style="2"/>
    <col min="11009" max="11009" width="12.7109375" style="2" customWidth="1"/>
    <col min="11010" max="11010" width="12.85546875" style="2" customWidth="1"/>
    <col min="11011" max="11011" width="13.7109375" style="2" customWidth="1"/>
    <col min="11012" max="11015" width="12.42578125" style="2" customWidth="1"/>
    <col min="11016" max="11016" width="14" style="2" customWidth="1"/>
    <col min="11017" max="11017" width="11.85546875" style="2" customWidth="1"/>
    <col min="11018" max="11019" width="12.42578125" style="2" customWidth="1"/>
    <col min="11020" max="11264" width="11.42578125" style="2"/>
    <col min="11265" max="11265" width="12.7109375" style="2" customWidth="1"/>
    <col min="11266" max="11266" width="12.85546875" style="2" customWidth="1"/>
    <col min="11267" max="11267" width="13.7109375" style="2" customWidth="1"/>
    <col min="11268" max="11271" width="12.42578125" style="2" customWidth="1"/>
    <col min="11272" max="11272" width="14" style="2" customWidth="1"/>
    <col min="11273" max="11273" width="11.85546875" style="2" customWidth="1"/>
    <col min="11274" max="11275" width="12.42578125" style="2" customWidth="1"/>
    <col min="11276" max="11520" width="11.42578125" style="2"/>
    <col min="11521" max="11521" width="12.7109375" style="2" customWidth="1"/>
    <col min="11522" max="11522" width="12.85546875" style="2" customWidth="1"/>
    <col min="11523" max="11523" width="13.7109375" style="2" customWidth="1"/>
    <col min="11524" max="11527" width="12.42578125" style="2" customWidth="1"/>
    <col min="11528" max="11528" width="14" style="2" customWidth="1"/>
    <col min="11529" max="11529" width="11.85546875" style="2" customWidth="1"/>
    <col min="11530" max="11531" width="12.42578125" style="2" customWidth="1"/>
    <col min="11532" max="11776" width="11.42578125" style="2"/>
    <col min="11777" max="11777" width="12.7109375" style="2" customWidth="1"/>
    <col min="11778" max="11778" width="12.85546875" style="2" customWidth="1"/>
    <col min="11779" max="11779" width="13.7109375" style="2" customWidth="1"/>
    <col min="11780" max="11783" width="12.42578125" style="2" customWidth="1"/>
    <col min="11784" max="11784" width="14" style="2" customWidth="1"/>
    <col min="11785" max="11785" width="11.85546875" style="2" customWidth="1"/>
    <col min="11786" max="11787" width="12.42578125" style="2" customWidth="1"/>
    <col min="11788" max="12032" width="11.42578125" style="2"/>
    <col min="12033" max="12033" width="12.7109375" style="2" customWidth="1"/>
    <col min="12034" max="12034" width="12.85546875" style="2" customWidth="1"/>
    <col min="12035" max="12035" width="13.7109375" style="2" customWidth="1"/>
    <col min="12036" max="12039" width="12.42578125" style="2" customWidth="1"/>
    <col min="12040" max="12040" width="14" style="2" customWidth="1"/>
    <col min="12041" max="12041" width="11.85546875" style="2" customWidth="1"/>
    <col min="12042" max="12043" width="12.42578125" style="2" customWidth="1"/>
    <col min="12044" max="12288" width="11.42578125" style="2"/>
    <col min="12289" max="12289" width="12.7109375" style="2" customWidth="1"/>
    <col min="12290" max="12290" width="12.85546875" style="2" customWidth="1"/>
    <col min="12291" max="12291" width="13.7109375" style="2" customWidth="1"/>
    <col min="12292" max="12295" width="12.42578125" style="2" customWidth="1"/>
    <col min="12296" max="12296" width="14" style="2" customWidth="1"/>
    <col min="12297" max="12297" width="11.85546875" style="2" customWidth="1"/>
    <col min="12298" max="12299" width="12.42578125" style="2" customWidth="1"/>
    <col min="12300" max="12544" width="11.42578125" style="2"/>
    <col min="12545" max="12545" width="12.7109375" style="2" customWidth="1"/>
    <col min="12546" max="12546" width="12.85546875" style="2" customWidth="1"/>
    <col min="12547" max="12547" width="13.7109375" style="2" customWidth="1"/>
    <col min="12548" max="12551" width="12.42578125" style="2" customWidth="1"/>
    <col min="12552" max="12552" width="14" style="2" customWidth="1"/>
    <col min="12553" max="12553" width="11.85546875" style="2" customWidth="1"/>
    <col min="12554" max="12555" width="12.42578125" style="2" customWidth="1"/>
    <col min="12556" max="12800" width="11.42578125" style="2"/>
    <col min="12801" max="12801" width="12.7109375" style="2" customWidth="1"/>
    <col min="12802" max="12802" width="12.85546875" style="2" customWidth="1"/>
    <col min="12803" max="12803" width="13.7109375" style="2" customWidth="1"/>
    <col min="12804" max="12807" width="12.42578125" style="2" customWidth="1"/>
    <col min="12808" max="12808" width="14" style="2" customWidth="1"/>
    <col min="12809" max="12809" width="11.85546875" style="2" customWidth="1"/>
    <col min="12810" max="12811" width="12.42578125" style="2" customWidth="1"/>
    <col min="12812" max="13056" width="11.42578125" style="2"/>
    <col min="13057" max="13057" width="12.7109375" style="2" customWidth="1"/>
    <col min="13058" max="13058" width="12.85546875" style="2" customWidth="1"/>
    <col min="13059" max="13059" width="13.7109375" style="2" customWidth="1"/>
    <col min="13060" max="13063" width="12.42578125" style="2" customWidth="1"/>
    <col min="13064" max="13064" width="14" style="2" customWidth="1"/>
    <col min="13065" max="13065" width="11.85546875" style="2" customWidth="1"/>
    <col min="13066" max="13067" width="12.42578125" style="2" customWidth="1"/>
    <col min="13068" max="13312" width="11.42578125" style="2"/>
    <col min="13313" max="13313" width="12.7109375" style="2" customWidth="1"/>
    <col min="13314" max="13314" width="12.85546875" style="2" customWidth="1"/>
    <col min="13315" max="13315" width="13.7109375" style="2" customWidth="1"/>
    <col min="13316" max="13319" width="12.42578125" style="2" customWidth="1"/>
    <col min="13320" max="13320" width="14" style="2" customWidth="1"/>
    <col min="13321" max="13321" width="11.85546875" style="2" customWidth="1"/>
    <col min="13322" max="13323" width="12.42578125" style="2" customWidth="1"/>
    <col min="13324" max="13568" width="11.42578125" style="2"/>
    <col min="13569" max="13569" width="12.7109375" style="2" customWidth="1"/>
    <col min="13570" max="13570" width="12.85546875" style="2" customWidth="1"/>
    <col min="13571" max="13571" width="13.7109375" style="2" customWidth="1"/>
    <col min="13572" max="13575" width="12.42578125" style="2" customWidth="1"/>
    <col min="13576" max="13576" width="14" style="2" customWidth="1"/>
    <col min="13577" max="13577" width="11.85546875" style="2" customWidth="1"/>
    <col min="13578" max="13579" width="12.42578125" style="2" customWidth="1"/>
    <col min="13580" max="13824" width="11.42578125" style="2"/>
    <col min="13825" max="13825" width="12.7109375" style="2" customWidth="1"/>
    <col min="13826" max="13826" width="12.85546875" style="2" customWidth="1"/>
    <col min="13827" max="13827" width="13.7109375" style="2" customWidth="1"/>
    <col min="13828" max="13831" width="12.42578125" style="2" customWidth="1"/>
    <col min="13832" max="13832" width="14" style="2" customWidth="1"/>
    <col min="13833" max="13833" width="11.85546875" style="2" customWidth="1"/>
    <col min="13834" max="13835" width="12.42578125" style="2" customWidth="1"/>
    <col min="13836" max="14080" width="11.42578125" style="2"/>
    <col min="14081" max="14081" width="12.7109375" style="2" customWidth="1"/>
    <col min="14082" max="14082" width="12.85546875" style="2" customWidth="1"/>
    <col min="14083" max="14083" width="13.7109375" style="2" customWidth="1"/>
    <col min="14084" max="14087" width="12.42578125" style="2" customWidth="1"/>
    <col min="14088" max="14088" width="14" style="2" customWidth="1"/>
    <col min="14089" max="14089" width="11.85546875" style="2" customWidth="1"/>
    <col min="14090" max="14091" width="12.42578125" style="2" customWidth="1"/>
    <col min="14092" max="14336" width="11.42578125" style="2"/>
    <col min="14337" max="14337" width="12.7109375" style="2" customWidth="1"/>
    <col min="14338" max="14338" width="12.85546875" style="2" customWidth="1"/>
    <col min="14339" max="14339" width="13.7109375" style="2" customWidth="1"/>
    <col min="14340" max="14343" width="12.42578125" style="2" customWidth="1"/>
    <col min="14344" max="14344" width="14" style="2" customWidth="1"/>
    <col min="14345" max="14345" width="11.85546875" style="2" customWidth="1"/>
    <col min="14346" max="14347" width="12.42578125" style="2" customWidth="1"/>
    <col min="14348" max="14592" width="11.42578125" style="2"/>
    <col min="14593" max="14593" width="12.7109375" style="2" customWidth="1"/>
    <col min="14594" max="14594" width="12.85546875" style="2" customWidth="1"/>
    <col min="14595" max="14595" width="13.7109375" style="2" customWidth="1"/>
    <col min="14596" max="14599" width="12.42578125" style="2" customWidth="1"/>
    <col min="14600" max="14600" width="14" style="2" customWidth="1"/>
    <col min="14601" max="14601" width="11.85546875" style="2" customWidth="1"/>
    <col min="14602" max="14603" width="12.42578125" style="2" customWidth="1"/>
    <col min="14604" max="14848" width="11.42578125" style="2"/>
    <col min="14849" max="14849" width="12.7109375" style="2" customWidth="1"/>
    <col min="14850" max="14850" width="12.85546875" style="2" customWidth="1"/>
    <col min="14851" max="14851" width="13.7109375" style="2" customWidth="1"/>
    <col min="14852" max="14855" width="12.42578125" style="2" customWidth="1"/>
    <col min="14856" max="14856" width="14" style="2" customWidth="1"/>
    <col min="14857" max="14857" width="11.85546875" style="2" customWidth="1"/>
    <col min="14858" max="14859" width="12.42578125" style="2" customWidth="1"/>
    <col min="14860" max="15104" width="11.42578125" style="2"/>
    <col min="15105" max="15105" width="12.7109375" style="2" customWidth="1"/>
    <col min="15106" max="15106" width="12.85546875" style="2" customWidth="1"/>
    <col min="15107" max="15107" width="13.7109375" style="2" customWidth="1"/>
    <col min="15108" max="15111" width="12.42578125" style="2" customWidth="1"/>
    <col min="15112" max="15112" width="14" style="2" customWidth="1"/>
    <col min="15113" max="15113" width="11.85546875" style="2" customWidth="1"/>
    <col min="15114" max="15115" width="12.42578125" style="2" customWidth="1"/>
    <col min="15116" max="15360" width="11.42578125" style="2"/>
    <col min="15361" max="15361" width="12.7109375" style="2" customWidth="1"/>
    <col min="15362" max="15362" width="12.85546875" style="2" customWidth="1"/>
    <col min="15363" max="15363" width="13.7109375" style="2" customWidth="1"/>
    <col min="15364" max="15367" width="12.42578125" style="2" customWidth="1"/>
    <col min="15368" max="15368" width="14" style="2" customWidth="1"/>
    <col min="15369" max="15369" width="11.85546875" style="2" customWidth="1"/>
    <col min="15370" max="15371" width="12.42578125" style="2" customWidth="1"/>
    <col min="15372" max="15616" width="11.42578125" style="2"/>
    <col min="15617" max="15617" width="12.7109375" style="2" customWidth="1"/>
    <col min="15618" max="15618" width="12.85546875" style="2" customWidth="1"/>
    <col min="15619" max="15619" width="13.7109375" style="2" customWidth="1"/>
    <col min="15620" max="15623" width="12.42578125" style="2" customWidth="1"/>
    <col min="15624" max="15624" width="14" style="2" customWidth="1"/>
    <col min="15625" max="15625" width="11.85546875" style="2" customWidth="1"/>
    <col min="15626" max="15627" width="12.42578125" style="2" customWidth="1"/>
    <col min="15628" max="15872" width="11.42578125" style="2"/>
    <col min="15873" max="15873" width="12.7109375" style="2" customWidth="1"/>
    <col min="15874" max="15874" width="12.85546875" style="2" customWidth="1"/>
    <col min="15875" max="15875" width="13.7109375" style="2" customWidth="1"/>
    <col min="15876" max="15879" width="12.42578125" style="2" customWidth="1"/>
    <col min="15880" max="15880" width="14" style="2" customWidth="1"/>
    <col min="15881" max="15881" width="11.85546875" style="2" customWidth="1"/>
    <col min="15882" max="15883" width="12.42578125" style="2" customWidth="1"/>
    <col min="15884" max="16128" width="11.42578125" style="2"/>
    <col min="16129" max="16129" width="12.7109375" style="2" customWidth="1"/>
    <col min="16130" max="16130" width="12.85546875" style="2" customWidth="1"/>
    <col min="16131" max="16131" width="13.7109375" style="2" customWidth="1"/>
    <col min="16132" max="16135" width="12.42578125" style="2" customWidth="1"/>
    <col min="16136" max="16136" width="14" style="2" customWidth="1"/>
    <col min="16137" max="16137" width="11.85546875" style="2" customWidth="1"/>
    <col min="16138" max="16139" width="12.42578125" style="2" customWidth="1"/>
    <col min="16140" max="16384" width="11.42578125" style="2"/>
  </cols>
  <sheetData>
    <row r="1" spans="1:11" ht="15" customHeight="1" x14ac:dyDescent="0.2">
      <c r="A1" s="12"/>
      <c r="B1" s="13"/>
      <c r="C1" s="14" t="s">
        <v>60</v>
      </c>
      <c r="D1" s="15"/>
      <c r="E1" s="474" t="s">
        <v>61</v>
      </c>
      <c r="F1" s="475"/>
      <c r="G1" s="475"/>
      <c r="H1" s="476"/>
      <c r="I1" s="16"/>
      <c r="J1" s="13"/>
      <c r="K1" s="17"/>
    </row>
    <row r="2" spans="1:11" ht="40.5" customHeight="1" x14ac:dyDescent="0.2">
      <c r="A2" s="18"/>
      <c r="B2" s="19"/>
      <c r="C2" s="20"/>
      <c r="D2" s="21"/>
      <c r="E2" s="477"/>
      <c r="F2" s="478"/>
      <c r="G2" s="478"/>
      <c r="H2" s="479"/>
      <c r="I2" s="22"/>
      <c r="J2" s="23"/>
      <c r="K2" s="24"/>
    </row>
    <row r="3" spans="1:11" ht="15" customHeight="1" x14ac:dyDescent="0.2">
      <c r="A3" s="480" t="s">
        <v>114</v>
      </c>
      <c r="B3" s="481"/>
      <c r="C3" s="481"/>
      <c r="D3" s="482"/>
      <c r="E3" s="25" t="s">
        <v>62</v>
      </c>
      <c r="F3" s="192" t="s">
        <v>115</v>
      </c>
      <c r="G3" s="26"/>
      <c r="H3" s="27"/>
      <c r="I3" s="28" t="s">
        <v>63</v>
      </c>
      <c r="J3" s="483">
        <v>2007</v>
      </c>
      <c r="K3" s="484"/>
    </row>
    <row r="4" spans="1:11" x14ac:dyDescent="0.2">
      <c r="A4" s="90"/>
      <c r="B4" s="90"/>
      <c r="C4" s="90"/>
      <c r="D4" s="91"/>
      <c r="E4" s="91"/>
      <c r="F4" s="91"/>
      <c r="G4" s="91"/>
      <c r="H4" s="91"/>
      <c r="I4" s="91"/>
      <c r="J4" s="92"/>
      <c r="K4" s="92"/>
    </row>
    <row r="5" spans="1:11" ht="26.25" x14ac:dyDescent="0.25">
      <c r="A5" s="91"/>
      <c r="B5" s="91"/>
      <c r="C5" s="187"/>
      <c r="D5"/>
      <c r="F5" s="2"/>
      <c r="G5" s="421" t="s">
        <v>498</v>
      </c>
      <c r="H5" s="421" t="s">
        <v>499</v>
      </c>
      <c r="I5"/>
      <c r="J5" s="92"/>
      <c r="K5" s="92"/>
    </row>
    <row r="6" spans="1:11" ht="15" x14ac:dyDescent="0.25">
      <c r="A6" s="91"/>
      <c r="B6" s="91"/>
      <c r="C6" s="188"/>
      <c r="D6"/>
      <c r="F6" s="2"/>
      <c r="G6" s="422" t="s">
        <v>500</v>
      </c>
      <c r="H6" s="422">
        <f>iohsb1!B6</f>
        <v>3</v>
      </c>
      <c r="I6" s="1"/>
      <c r="J6" s="92"/>
      <c r="K6" s="92"/>
    </row>
    <row r="7" spans="1:11" ht="15" x14ac:dyDescent="0.25">
      <c r="A7" s="91"/>
      <c r="B7" s="91"/>
      <c r="C7" s="188"/>
      <c r="D7"/>
      <c r="F7" s="2"/>
      <c r="G7" s="422" t="s">
        <v>497</v>
      </c>
      <c r="H7" s="422">
        <f>iohsb1!B7</f>
        <v>1</v>
      </c>
      <c r="I7" s="1"/>
      <c r="J7" s="92"/>
      <c r="K7" s="92"/>
    </row>
    <row r="8" spans="1:11" s="32" customFormat="1" ht="15" x14ac:dyDescent="0.25">
      <c r="A8" s="93"/>
      <c r="B8" s="94"/>
      <c r="C8" s="189"/>
      <c r="D8" s="182"/>
      <c r="G8" s="422" t="s">
        <v>501</v>
      </c>
      <c r="H8" s="422">
        <f>iohsb1!B8</f>
        <v>2</v>
      </c>
      <c r="I8"/>
      <c r="J8" s="93"/>
      <c r="K8" s="93"/>
    </row>
    <row r="10" spans="1:11" ht="15" customHeight="1" x14ac:dyDescent="0.25">
      <c r="A10" s="11" t="s">
        <v>116</v>
      </c>
      <c r="D10"/>
      <c r="E10"/>
      <c r="F10"/>
      <c r="G10"/>
    </row>
    <row r="11" spans="1:11" ht="15" customHeight="1" x14ac:dyDescent="0.2">
      <c r="A11" s="11"/>
      <c r="B11" s="2" t="s">
        <v>13</v>
      </c>
    </row>
    <row r="12" spans="1:11" ht="15" customHeight="1" x14ac:dyDescent="0.3">
      <c r="B12" s="6" t="s">
        <v>14</v>
      </c>
      <c r="C12" s="95">
        <f>hsb1phouse!F90</f>
        <v>2</v>
      </c>
      <c r="D12" s="2" t="s">
        <v>15</v>
      </c>
      <c r="E12" s="6" t="s">
        <v>16</v>
      </c>
      <c r="J12" s="1" t="s">
        <v>604</v>
      </c>
    </row>
    <row r="13" spans="1:11" ht="15" customHeight="1" x14ac:dyDescent="0.3">
      <c r="B13" s="6" t="s">
        <v>17</v>
      </c>
      <c r="C13" s="96">
        <v>1</v>
      </c>
      <c r="D13" s="2" t="s">
        <v>15</v>
      </c>
      <c r="E13" s="6" t="s">
        <v>18</v>
      </c>
      <c r="J13" s="1" t="s">
        <v>399</v>
      </c>
    </row>
    <row r="14" spans="1:11" ht="15" customHeight="1" x14ac:dyDescent="0.3">
      <c r="B14" s="4" t="s">
        <v>19</v>
      </c>
      <c r="C14" s="97">
        <f>(hsb1phouse!D161*hsb1phouse!D163)^0.5</f>
        <v>4.4547727214752495</v>
      </c>
      <c r="D14" s="2" t="s">
        <v>1</v>
      </c>
      <c r="E14" s="6" t="s">
        <v>20</v>
      </c>
      <c r="J14" s="1" t="s">
        <v>589</v>
      </c>
    </row>
    <row r="15" spans="1:11" ht="15" customHeight="1" x14ac:dyDescent="0.3">
      <c r="B15" s="4" t="s">
        <v>21</v>
      </c>
      <c r="C15" s="97">
        <f>iohsb1!B2</f>
        <v>521</v>
      </c>
      <c r="D15" s="7" t="s">
        <v>1</v>
      </c>
      <c r="E15" s="6" t="s">
        <v>8</v>
      </c>
      <c r="J15" s="1" t="s">
        <v>398</v>
      </c>
    </row>
    <row r="16" spans="1:11" ht="15" customHeight="1" x14ac:dyDescent="0.3">
      <c r="B16" s="6" t="s">
        <v>9</v>
      </c>
      <c r="C16" s="97">
        <f>hsb1phouse!D156-hsb1phouse!D161/2</f>
        <v>488.43664854259771</v>
      </c>
      <c r="D16" s="7" t="s">
        <v>1</v>
      </c>
      <c r="E16" s="6" t="s">
        <v>10</v>
      </c>
      <c r="J16" s="1" t="s">
        <v>459</v>
      </c>
    </row>
    <row r="17" spans="2:11" ht="15" customHeight="1" x14ac:dyDescent="0.25">
      <c r="B17" s="2" t="s">
        <v>22</v>
      </c>
      <c r="C17"/>
      <c r="D17" s="7"/>
      <c r="E17"/>
      <c r="I17" s="452" t="s">
        <v>607</v>
      </c>
      <c r="J17" s="453">
        <f>0.8*hsb1phouse!J17/(C14^2)*C14^0.5</f>
        <v>3.131132009415174</v>
      </c>
      <c r="K17" s="454" t="s">
        <v>1</v>
      </c>
    </row>
    <row r="18" spans="2:11" ht="15" customHeight="1" x14ac:dyDescent="0.3">
      <c r="B18" s="6" t="s">
        <v>11</v>
      </c>
      <c r="C18" s="98"/>
      <c r="D18" s="7" t="s">
        <v>1</v>
      </c>
      <c r="E18" s="6" t="s">
        <v>23</v>
      </c>
      <c r="I18" s="452" t="s">
        <v>608</v>
      </c>
      <c r="J18" s="453">
        <f>C15-J17-C14</f>
        <v>513.41409526910957</v>
      </c>
      <c r="K18" s="454" t="s">
        <v>1</v>
      </c>
    </row>
    <row r="19" spans="2:11" ht="15" customHeight="1" x14ac:dyDescent="0.3">
      <c r="B19" s="6" t="s">
        <v>24</v>
      </c>
      <c r="C19" s="95">
        <f>hsb1phouse!J16</f>
        <v>73.600321951595831</v>
      </c>
      <c r="D19" s="2" t="s">
        <v>0</v>
      </c>
      <c r="E19" s="2" t="s">
        <v>25</v>
      </c>
      <c r="J19" s="1" t="s">
        <v>604</v>
      </c>
    </row>
    <row r="20" spans="2:11" ht="15" customHeight="1" x14ac:dyDescent="0.3">
      <c r="B20" s="6" t="s">
        <v>26</v>
      </c>
      <c r="C20" s="97">
        <f>VLOOKUP(iohsb1!B17,G6:H8,2,FALSE)</f>
        <v>1</v>
      </c>
      <c r="D20" s="2" t="s">
        <v>1</v>
      </c>
      <c r="E20" s="6" t="s">
        <v>27</v>
      </c>
      <c r="J20" s="1" t="s">
        <v>398</v>
      </c>
    </row>
    <row r="21" spans="2:11" ht="15" customHeight="1" x14ac:dyDescent="0.2">
      <c r="B21" s="6"/>
    </row>
    <row r="22" spans="2:11" ht="15" customHeight="1" x14ac:dyDescent="0.25">
      <c r="B22"/>
      <c r="C22"/>
      <c r="D22"/>
      <c r="E22"/>
    </row>
    <row r="23" spans="2:11" ht="15" customHeight="1" x14ac:dyDescent="0.2"/>
    <row r="24" spans="2:11" ht="15" customHeight="1" x14ac:dyDescent="0.2"/>
    <row r="25" spans="2:11" ht="15" customHeight="1" x14ac:dyDescent="0.2"/>
    <row r="26" spans="2:11" ht="15" customHeight="1" x14ac:dyDescent="0.2"/>
    <row r="27" spans="2:11" ht="15" customHeight="1" x14ac:dyDescent="0.2"/>
    <row r="28" spans="2:11" ht="15" customHeight="1" x14ac:dyDescent="0.2"/>
    <row r="29" spans="2:11" ht="15" customHeight="1" x14ac:dyDescent="0.2"/>
    <row r="30" spans="2:11" ht="15" customHeight="1" x14ac:dyDescent="0.2"/>
    <row r="31" spans="2:11" ht="15" customHeight="1" x14ac:dyDescent="0.2"/>
    <row r="32" spans="2:1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spans="1:9" ht="15" customHeight="1" x14ac:dyDescent="0.2">
      <c r="A65" s="11" t="s">
        <v>117</v>
      </c>
      <c r="B65" s="11"/>
    </row>
    <row r="66" spans="1:9" ht="15" customHeight="1" x14ac:dyDescent="0.2">
      <c r="A66" s="11"/>
      <c r="B66" s="11"/>
    </row>
    <row r="67" spans="1:9" ht="15" customHeight="1" x14ac:dyDescent="0.5">
      <c r="A67" s="11"/>
      <c r="B67" s="35" t="s">
        <v>118</v>
      </c>
    </row>
    <row r="68" spans="1:9" ht="15" customHeight="1" x14ac:dyDescent="0.2">
      <c r="A68" s="11"/>
      <c r="B68" s="11"/>
    </row>
    <row r="69" spans="1:9" ht="15" customHeight="1" x14ac:dyDescent="0.2">
      <c r="A69" s="11"/>
      <c r="B69" s="11"/>
    </row>
    <row r="70" spans="1:9" ht="15" customHeight="1" x14ac:dyDescent="0.2">
      <c r="A70" s="11"/>
      <c r="B70" s="11"/>
      <c r="D70" s="11">
        <f>C12/C13</f>
        <v>2</v>
      </c>
      <c r="E70" s="11" t="s">
        <v>15</v>
      </c>
    </row>
    <row r="71" spans="1:9" ht="15" customHeight="1" x14ac:dyDescent="0.2">
      <c r="A71" s="11"/>
      <c r="B71" s="11"/>
    </row>
    <row r="72" spans="1:9" ht="15" customHeight="1" x14ac:dyDescent="0.5">
      <c r="B72" s="35" t="s">
        <v>119</v>
      </c>
    </row>
    <row r="73" spans="1:9" ht="15" customHeight="1" x14ac:dyDescent="0.2">
      <c r="B73" s="4"/>
      <c r="E73" s="101">
        <f>C15-C16+D76+4</f>
        <v>40.563351457402291</v>
      </c>
      <c r="F73" s="11" t="s">
        <v>1</v>
      </c>
      <c r="G73" s="446" t="s">
        <v>600</v>
      </c>
    </row>
    <row r="74" spans="1:9" ht="15" customHeight="1" x14ac:dyDescent="0.5">
      <c r="B74" s="100"/>
      <c r="C74" s="6"/>
    </row>
    <row r="75" spans="1:9" ht="15" customHeight="1" x14ac:dyDescent="0.2"/>
    <row r="76" spans="1:9" ht="15" customHeight="1" x14ac:dyDescent="0.3">
      <c r="B76" s="5" t="s">
        <v>65</v>
      </c>
      <c r="C76" s="5" t="s">
        <v>120</v>
      </c>
      <c r="D76" s="3">
        <f>iohsb1!B15-iohsb1!B2</f>
        <v>4</v>
      </c>
      <c r="E76" s="2" t="s">
        <v>121</v>
      </c>
    </row>
    <row r="77" spans="1:9" ht="15" customHeight="1" x14ac:dyDescent="0.2"/>
    <row r="78" spans="1:9" ht="15" customHeight="1" x14ac:dyDescent="0.5">
      <c r="B78" s="35" t="s">
        <v>122</v>
      </c>
      <c r="C78" s="4"/>
      <c r="E78" s="37"/>
      <c r="F78" s="11"/>
    </row>
    <row r="79" spans="1:9" ht="15" customHeight="1" x14ac:dyDescent="0.2">
      <c r="F79" s="43"/>
      <c r="G79" s="445" t="s">
        <v>591</v>
      </c>
      <c r="H79" s="41"/>
      <c r="I79" s="103"/>
    </row>
    <row r="80" spans="1:9" ht="15" customHeight="1" x14ac:dyDescent="0.2">
      <c r="E80" s="104">
        <f>1.2*hsb1phouse!D163+2.4</f>
        <v>7.4399999999999995</v>
      </c>
      <c r="F80" s="105" t="s">
        <v>1</v>
      </c>
      <c r="G80" s="446" t="s">
        <v>601</v>
      </c>
    </row>
    <row r="81" spans="1:10" ht="15" customHeight="1" x14ac:dyDescent="0.5">
      <c r="B81" s="35"/>
    </row>
    <row r="82" spans="1:10" ht="15" customHeight="1" x14ac:dyDescent="0.5">
      <c r="B82" s="35" t="s">
        <v>123</v>
      </c>
      <c r="C82" s="6"/>
      <c r="J82" s="2" t="s">
        <v>602</v>
      </c>
    </row>
    <row r="83" spans="1:10" ht="15" customHeight="1" x14ac:dyDescent="0.25">
      <c r="A83" s="106"/>
      <c r="B83" s="106"/>
      <c r="C83" s="106"/>
      <c r="D83" s="107"/>
      <c r="E83" s="104"/>
      <c r="F83" s="104"/>
      <c r="G83" s="108"/>
      <c r="H83" s="106"/>
      <c r="J83" s="445">
        <f>0.1*hsb1phouse!D163+1.2</f>
        <v>1.62</v>
      </c>
    </row>
    <row r="84" spans="1:10" ht="15" customHeight="1" x14ac:dyDescent="0.2">
      <c r="A84" s="106"/>
      <c r="B84" s="106"/>
      <c r="D84" s="106"/>
      <c r="E84" s="185">
        <f>D70*E80+2*2</f>
        <v>18.88</v>
      </c>
      <c r="F84" s="36" t="s">
        <v>1</v>
      </c>
      <c r="G84" s="106"/>
      <c r="H84" s="102"/>
    </row>
    <row r="85" spans="1:10" ht="15" customHeight="1" x14ac:dyDescent="0.2">
      <c r="A85" s="106"/>
      <c r="B85" s="106"/>
      <c r="C85" s="109"/>
      <c r="D85" s="106"/>
      <c r="E85" s="106"/>
      <c r="F85" s="110"/>
      <c r="G85" s="106"/>
      <c r="H85" s="106"/>
    </row>
    <row r="86" spans="1:10" ht="15" customHeight="1" x14ac:dyDescent="0.5">
      <c r="A86" s="106"/>
      <c r="B86" s="35" t="s">
        <v>124</v>
      </c>
      <c r="C86" s="106"/>
      <c r="D86" s="111"/>
      <c r="E86"/>
      <c r="F86"/>
      <c r="G86" s="106"/>
      <c r="H86" s="106"/>
    </row>
    <row r="87" spans="1:10" ht="15" customHeight="1" x14ac:dyDescent="0.2">
      <c r="A87" s="106"/>
      <c r="B87" s="106"/>
      <c r="C87" s="106"/>
      <c r="D87" s="106"/>
      <c r="E87" s="106"/>
      <c r="F87" s="112"/>
      <c r="G87" s="106"/>
      <c r="H87" s="106"/>
    </row>
    <row r="88" spans="1:10" ht="15" customHeight="1" x14ac:dyDescent="0.2">
      <c r="A88" s="106"/>
      <c r="B88" s="106"/>
      <c r="D88" s="106"/>
      <c r="E88" s="186">
        <f>iohsb1!B16+0.2*E73</f>
        <v>18.112670291480459</v>
      </c>
      <c r="F88" s="105" t="s">
        <v>1</v>
      </c>
      <c r="G88" s="106"/>
      <c r="H88" s="102"/>
      <c r="J88" s="445">
        <f>0.1*hsb1phouse!D163+0.4</f>
        <v>0.82000000000000006</v>
      </c>
    </row>
    <row r="89" spans="1:10" ht="15" customHeight="1" x14ac:dyDescent="0.2">
      <c r="E89" s="329" t="s">
        <v>626</v>
      </c>
    </row>
    <row r="90" spans="1:10" ht="15" customHeight="1" x14ac:dyDescent="0.2"/>
    <row r="91" spans="1:10" ht="15" customHeight="1" x14ac:dyDescent="0.25">
      <c r="A91" s="11" t="s">
        <v>125</v>
      </c>
      <c r="B91"/>
    </row>
    <row r="92" spans="1:10" ht="15" customHeight="1" x14ac:dyDescent="0.25">
      <c r="A92" s="11"/>
      <c r="B92"/>
    </row>
    <row r="93" spans="1:10" ht="15" customHeight="1" x14ac:dyDescent="0.2">
      <c r="A93" s="43" t="s">
        <v>126</v>
      </c>
      <c r="B93" s="2" t="s">
        <v>127</v>
      </c>
    </row>
    <row r="94" spans="1:10" ht="15" customHeight="1" x14ac:dyDescent="0.5">
      <c r="B94" s="100" t="s">
        <v>128</v>
      </c>
      <c r="C94"/>
    </row>
    <row r="95" spans="1:10" ht="15" customHeight="1" x14ac:dyDescent="0.5">
      <c r="B95" s="100"/>
    </row>
    <row r="96" spans="1:10" ht="15" customHeight="1" x14ac:dyDescent="0.5">
      <c r="B96" s="100"/>
      <c r="E96" s="44">
        <f>E84*E88*C20</f>
        <v>341.96721510315103</v>
      </c>
      <c r="F96" s="36" t="s">
        <v>54</v>
      </c>
      <c r="G96" s="113"/>
      <c r="H96" s="38"/>
      <c r="I96" s="39"/>
    </row>
    <row r="97" spans="2:10" ht="15" customHeight="1" x14ac:dyDescent="0.2"/>
    <row r="98" spans="2:10" ht="15" customHeight="1" x14ac:dyDescent="0.5">
      <c r="B98" s="100" t="s">
        <v>129</v>
      </c>
      <c r="C98"/>
    </row>
    <row r="99" spans="2:10" ht="15" customHeight="1" x14ac:dyDescent="0.2"/>
    <row r="100" spans="2:10" ht="15" customHeight="1" x14ac:dyDescent="0.2">
      <c r="F100" s="44">
        <f>E88*(C18-C20-(C16-2.5))*E84</f>
        <v>-166516.36963377398</v>
      </c>
      <c r="G100" s="36" t="s">
        <v>54</v>
      </c>
      <c r="H100" s="113"/>
      <c r="I100" s="38"/>
      <c r="J100" s="39"/>
    </row>
    <row r="101" spans="2:10" ht="15" customHeight="1" x14ac:dyDescent="0.2">
      <c r="F101" s="44"/>
      <c r="G101" s="36"/>
      <c r="H101" s="6"/>
    </row>
    <row r="102" spans="2:10" ht="15" customHeight="1" x14ac:dyDescent="0.5">
      <c r="B102" s="100" t="s">
        <v>130</v>
      </c>
    </row>
    <row r="103" spans="2:10" ht="15" customHeight="1" x14ac:dyDescent="0.5">
      <c r="B103" s="100"/>
      <c r="C103" s="2" t="s">
        <v>131</v>
      </c>
      <c r="G103" s="11"/>
    </row>
    <row r="104" spans="2:10" ht="15" customHeight="1" x14ac:dyDescent="0.5">
      <c r="B104" s="100"/>
      <c r="D104" s="44">
        <f>E84*E88</f>
        <v>341.96721510315103</v>
      </c>
      <c r="E104" s="48" t="s">
        <v>132</v>
      </c>
      <c r="F104" s="113"/>
      <c r="G104" s="38"/>
      <c r="H104" s="39"/>
    </row>
    <row r="105" spans="2:10" ht="15" customHeight="1" x14ac:dyDescent="0.5">
      <c r="B105" s="100"/>
      <c r="E105" s="44"/>
      <c r="F105" s="48"/>
      <c r="H105"/>
    </row>
    <row r="106" spans="2:10" ht="15" customHeight="1" x14ac:dyDescent="0.2">
      <c r="C106" s="2" t="s">
        <v>133</v>
      </c>
      <c r="E106" s="4"/>
      <c r="F106" s="4"/>
    </row>
    <row r="107" spans="2:10" ht="15" customHeight="1" x14ac:dyDescent="0.25">
      <c r="C107" s="9"/>
      <c r="D107" s="8"/>
      <c r="E107" s="8"/>
      <c r="F107" s="45"/>
      <c r="G107"/>
      <c r="H107"/>
    </row>
    <row r="108" spans="2:10" ht="15" customHeight="1" x14ac:dyDescent="0.2">
      <c r="C108" s="8"/>
      <c r="D108" s="8"/>
      <c r="E108" s="47">
        <f>E84/3*F111</f>
        <v>251.73333333333332</v>
      </c>
      <c r="F108" s="114" t="s">
        <v>1</v>
      </c>
      <c r="G108" s="113"/>
      <c r="H108" s="38"/>
      <c r="I108" s="39"/>
    </row>
    <row r="109" spans="2:10" ht="15" customHeight="1" x14ac:dyDescent="0.2">
      <c r="C109" s="8"/>
      <c r="D109" s="8"/>
      <c r="E109" s="8"/>
      <c r="F109" s="8"/>
      <c r="G109" s="8"/>
      <c r="H109" s="114"/>
    </row>
    <row r="110" spans="2:10" ht="15" customHeight="1" x14ac:dyDescent="0.2">
      <c r="C110" s="45" t="s">
        <v>65</v>
      </c>
      <c r="D110" s="8"/>
      <c r="E110" s="8"/>
      <c r="F110" s="8"/>
      <c r="G110" s="8"/>
      <c r="H110" s="114"/>
    </row>
    <row r="111" spans="2:10" ht="15" customHeight="1" x14ac:dyDescent="0.2">
      <c r="C111" s="8"/>
      <c r="D111" s="8"/>
      <c r="E111" s="8"/>
      <c r="F111" s="8">
        <f>IF(1.5*(C15-C16)&gt;40,40,1.5*(C15-C16))</f>
        <v>40</v>
      </c>
      <c r="G111" s="10" t="s">
        <v>134</v>
      </c>
      <c r="H111" s="114"/>
    </row>
    <row r="112" spans="2:10" ht="15" customHeight="1" x14ac:dyDescent="0.2">
      <c r="C112" s="8"/>
      <c r="D112" s="8"/>
      <c r="E112" s="8"/>
      <c r="F112" s="8"/>
      <c r="G112" s="8"/>
      <c r="H112" s="114"/>
    </row>
    <row r="113" spans="1:9" ht="15" customHeight="1" x14ac:dyDescent="0.25">
      <c r="C113" s="2" t="s">
        <v>135</v>
      </c>
      <c r="D113" s="37"/>
      <c r="E113"/>
      <c r="F113" s="47"/>
      <c r="G113" s="36"/>
      <c r="H113"/>
    </row>
    <row r="114" spans="1:9" ht="15" customHeight="1" x14ac:dyDescent="0.25">
      <c r="D114" s="37"/>
      <c r="E114"/>
      <c r="F114" s="47"/>
      <c r="G114" s="36"/>
      <c r="H114"/>
    </row>
    <row r="115" spans="1:9" ht="15" customHeight="1" x14ac:dyDescent="0.3">
      <c r="C115" s="5" t="s">
        <v>136</v>
      </c>
      <c r="D115" s="115">
        <v>39.700000000000003</v>
      </c>
      <c r="E115" s="4" t="s">
        <v>137</v>
      </c>
      <c r="F115" s="2" t="s">
        <v>70</v>
      </c>
      <c r="G115" s="36"/>
      <c r="H115"/>
    </row>
    <row r="116" spans="1:9" ht="15" customHeight="1" x14ac:dyDescent="0.3">
      <c r="C116" s="5" t="s">
        <v>138</v>
      </c>
      <c r="D116" s="116">
        <v>168</v>
      </c>
      <c r="E116" s="4" t="s">
        <v>72</v>
      </c>
      <c r="F116" t="s">
        <v>73</v>
      </c>
      <c r="G116"/>
      <c r="H116"/>
    </row>
    <row r="117" spans="1:9" ht="15" customHeight="1" x14ac:dyDescent="0.3">
      <c r="C117" s="5" t="s">
        <v>139</v>
      </c>
      <c r="D117" s="116">
        <v>72</v>
      </c>
      <c r="E117" s="4" t="s">
        <v>72</v>
      </c>
      <c r="F117" t="s">
        <v>75</v>
      </c>
      <c r="G117"/>
      <c r="H117"/>
    </row>
    <row r="118" spans="1:9" ht="15" customHeight="1" x14ac:dyDescent="0.2"/>
    <row r="119" spans="1:9" ht="15" customHeight="1" x14ac:dyDescent="0.25">
      <c r="E119"/>
      <c r="F119" s="47">
        <f>$D$115*$D$104+$D$116*$E$108+$D$117*$E$108</f>
        <v>73992.098439595095</v>
      </c>
      <c r="G119" s="11" t="s">
        <v>76</v>
      </c>
    </row>
    <row r="120" spans="1:9" ht="15" customHeight="1" x14ac:dyDescent="0.2"/>
    <row r="121" spans="1:9" ht="15" customHeight="1" x14ac:dyDescent="0.2"/>
    <row r="122" spans="1:9" ht="15" customHeight="1" x14ac:dyDescent="0.2">
      <c r="A122" s="43" t="s">
        <v>140</v>
      </c>
      <c r="B122" s="2" t="s">
        <v>141</v>
      </c>
    </row>
    <row r="123" spans="1:9" ht="15" customHeight="1" x14ac:dyDescent="0.5">
      <c r="B123" s="100" t="s">
        <v>142</v>
      </c>
      <c r="C123"/>
    </row>
    <row r="124" spans="1:9" ht="15" customHeight="1" x14ac:dyDescent="0.5">
      <c r="C124" s="100"/>
    </row>
    <row r="125" spans="1:9" ht="15" customHeight="1" x14ac:dyDescent="0.5">
      <c r="C125" s="100"/>
      <c r="F125" s="47">
        <f>F128+D70*F131+G136</f>
        <v>14660.250718354528</v>
      </c>
      <c r="G125" s="48" t="s">
        <v>143</v>
      </c>
      <c r="H125" s="11"/>
      <c r="I125" s="117"/>
    </row>
    <row r="126" spans="1:9" ht="15" customHeight="1" x14ac:dyDescent="0.5">
      <c r="C126" s="100"/>
      <c r="F126" s="47"/>
      <c r="G126" s="48"/>
    </row>
    <row r="127" spans="1:9" ht="15" customHeight="1" x14ac:dyDescent="0.5">
      <c r="C127" s="100"/>
      <c r="D127" s="6" t="s">
        <v>144</v>
      </c>
      <c r="F127" s="47"/>
      <c r="G127" s="48"/>
    </row>
    <row r="128" spans="1:9" ht="15" customHeight="1" x14ac:dyDescent="0.5">
      <c r="C128" s="100"/>
      <c r="F128" s="47">
        <f>2*(2*E88+10)*E73</f>
        <v>3750.1094726095303</v>
      </c>
      <c r="G128" s="48" t="s">
        <v>143</v>
      </c>
      <c r="H128" s="11"/>
      <c r="I128" s="117"/>
    </row>
    <row r="129" spans="2:16" ht="15" customHeight="1" x14ac:dyDescent="0.5">
      <c r="C129" s="100"/>
    </row>
    <row r="130" spans="2:16" ht="15" customHeight="1" x14ac:dyDescent="0.5">
      <c r="C130" s="100"/>
      <c r="D130" s="6" t="s">
        <v>145</v>
      </c>
      <c r="E130" s="5"/>
      <c r="F130" s="2"/>
    </row>
    <row r="131" spans="2:16" ht="15" customHeight="1" x14ac:dyDescent="0.5">
      <c r="C131" s="100"/>
      <c r="F131" s="47">
        <f>1.3*(2.71828^H133)</f>
        <v>2910.8729986774842</v>
      </c>
      <c r="G131" s="48" t="s">
        <v>143</v>
      </c>
      <c r="H131" s="11"/>
      <c r="I131" s="117"/>
    </row>
    <row r="132" spans="2:16" ht="15" customHeight="1" x14ac:dyDescent="0.5">
      <c r="C132" s="100"/>
    </row>
    <row r="133" spans="2:16" ht="15" customHeight="1" x14ac:dyDescent="0.5">
      <c r="C133" s="100"/>
      <c r="H133" s="3">
        <f>(0.046-0.00167*C14)*(E73-104)+10.16</f>
        <v>7.7138492389943654</v>
      </c>
      <c r="I133" s="6"/>
    </row>
    <row r="134" spans="2:16" ht="15" customHeight="1" x14ac:dyDescent="0.5">
      <c r="C134" s="100"/>
    </row>
    <row r="135" spans="2:16" ht="15" customHeight="1" x14ac:dyDescent="0.5">
      <c r="C135" s="100"/>
      <c r="D135" s="6" t="s">
        <v>146</v>
      </c>
      <c r="E135" s="5"/>
      <c r="F135" s="2"/>
    </row>
    <row r="136" spans="2:16" ht="15" customHeight="1" x14ac:dyDescent="0.5">
      <c r="C136" s="100"/>
      <c r="F136" s="47"/>
      <c r="G136" s="44">
        <f>E84*0.375*(E73-C14-9.3)^2</f>
        <v>5088.3952483900284</v>
      </c>
      <c r="H136" s="48" t="s">
        <v>143</v>
      </c>
      <c r="I136" s="11"/>
      <c r="J136" s="117"/>
    </row>
    <row r="137" spans="2:16" ht="15" customHeight="1" x14ac:dyDescent="0.5">
      <c r="C137" s="100"/>
    </row>
    <row r="138" spans="2:16" ht="15" customHeight="1" x14ac:dyDescent="0.5">
      <c r="B138" s="4" t="s">
        <v>77</v>
      </c>
      <c r="C138" s="100"/>
      <c r="D138" s="50"/>
      <c r="E138" s="50"/>
    </row>
    <row r="139" spans="2:16" ht="15" customHeight="1" x14ac:dyDescent="0.25">
      <c r="D139" s="34" t="s">
        <v>78</v>
      </c>
      <c r="E139" s="34" t="s">
        <v>79</v>
      </c>
      <c r="F139"/>
    </row>
    <row r="140" spans="2:16" ht="15" customHeight="1" x14ac:dyDescent="0.25">
      <c r="C140" s="50"/>
      <c r="D140" s="118" t="s">
        <v>80</v>
      </c>
      <c r="E140" s="118" t="s">
        <v>80</v>
      </c>
      <c r="F140"/>
    </row>
    <row r="141" spans="2:16" ht="15" customHeight="1" x14ac:dyDescent="0.25">
      <c r="B141"/>
      <c r="C141" s="2" t="s">
        <v>147</v>
      </c>
      <c r="D141" s="119">
        <v>200</v>
      </c>
      <c r="E141" s="119">
        <v>40</v>
      </c>
      <c r="F141"/>
      <c r="H141" s="3"/>
    </row>
    <row r="142" spans="2:16" ht="15" customHeight="1" x14ac:dyDescent="0.25">
      <c r="B142"/>
      <c r="C142" s="2" t="s">
        <v>148</v>
      </c>
      <c r="D142" s="119">
        <v>300</v>
      </c>
      <c r="E142" s="119">
        <v>60</v>
      </c>
      <c r="F142"/>
      <c r="H142" s="3"/>
    </row>
    <row r="143" spans="2:16" ht="15" customHeight="1" x14ac:dyDescent="0.25">
      <c r="B143"/>
      <c r="C143" s="50" t="s">
        <v>149</v>
      </c>
      <c r="D143" s="120">
        <v>200</v>
      </c>
      <c r="E143" s="120">
        <v>20</v>
      </c>
      <c r="F143"/>
      <c r="H143" s="3"/>
      <c r="I143"/>
      <c r="J143"/>
      <c r="K143"/>
      <c r="N143"/>
      <c r="O143"/>
      <c r="P143"/>
    </row>
    <row r="144" spans="2:16" ht="15" customHeight="1" x14ac:dyDescent="0.25">
      <c r="B144"/>
      <c r="D144" s="40"/>
      <c r="E144" s="40"/>
      <c r="H144" s="3"/>
      <c r="I144"/>
      <c r="J144"/>
      <c r="K144"/>
      <c r="N144"/>
      <c r="O144"/>
      <c r="P144"/>
    </row>
    <row r="145" spans="1:16" ht="15" customHeight="1" x14ac:dyDescent="0.25">
      <c r="B145" s="121" t="s">
        <v>81</v>
      </c>
      <c r="C145"/>
      <c r="D145" s="51"/>
      <c r="E145" s="49"/>
      <c r="F145" s="50"/>
      <c r="I145"/>
      <c r="J145"/>
      <c r="K145"/>
      <c r="N145"/>
      <c r="O145"/>
      <c r="P145"/>
    </row>
    <row r="146" spans="1:16" ht="15" customHeight="1" x14ac:dyDescent="0.25">
      <c r="B146"/>
      <c r="D146" s="34" t="s">
        <v>78</v>
      </c>
      <c r="E146" s="34" t="s">
        <v>79</v>
      </c>
      <c r="F146" s="52" t="s">
        <v>82</v>
      </c>
      <c r="G146" s="52"/>
      <c r="H146" s="52"/>
      <c r="I146"/>
      <c r="J146"/>
      <c r="K146"/>
      <c r="N146"/>
      <c r="O146"/>
      <c r="P146"/>
    </row>
    <row r="147" spans="1:16" ht="15" customHeight="1" x14ac:dyDescent="0.25">
      <c r="B147"/>
      <c r="D147" s="40"/>
      <c r="E147" s="40"/>
      <c r="F147" s="53" t="s">
        <v>83</v>
      </c>
      <c r="G147" s="54" t="s">
        <v>84</v>
      </c>
      <c r="H147" s="54" t="s">
        <v>85</v>
      </c>
      <c r="I147"/>
      <c r="J147"/>
      <c r="K147"/>
      <c r="N147"/>
      <c r="O147"/>
      <c r="P147"/>
    </row>
    <row r="148" spans="1:16" ht="15" customHeight="1" x14ac:dyDescent="0.25">
      <c r="B148"/>
      <c r="C148" s="50"/>
      <c r="D148" s="118" t="s">
        <v>86</v>
      </c>
      <c r="E148" s="118" t="s">
        <v>86</v>
      </c>
      <c r="F148" s="55" t="s">
        <v>87</v>
      </c>
      <c r="G148" s="55" t="s">
        <v>88</v>
      </c>
      <c r="H148" s="55" t="s">
        <v>89</v>
      </c>
      <c r="I148"/>
      <c r="J148"/>
      <c r="K148"/>
      <c r="N148"/>
      <c r="O148"/>
      <c r="P148"/>
    </row>
    <row r="149" spans="1:16" ht="15" customHeight="1" x14ac:dyDescent="0.25">
      <c r="B149"/>
      <c r="C149" s="2" t="s">
        <v>147</v>
      </c>
      <c r="D149" s="122">
        <f>F149*D141/1000</f>
        <v>750.02189452190601</v>
      </c>
      <c r="E149" s="122">
        <f>F149*E141/1000</f>
        <v>150.00437890438121</v>
      </c>
      <c r="F149" s="123">
        <f>F128</f>
        <v>3750.1094726095303</v>
      </c>
      <c r="G149" s="124">
        <v>128</v>
      </c>
      <c r="H149" s="123">
        <f>F149*G149</f>
        <v>480014.01249401987</v>
      </c>
      <c r="I149"/>
      <c r="J149"/>
      <c r="K149"/>
      <c r="N149"/>
      <c r="O149"/>
      <c r="P149"/>
    </row>
    <row r="150" spans="1:16" ht="15" customHeight="1" x14ac:dyDescent="0.25">
      <c r="B150"/>
      <c r="C150" s="2" t="s">
        <v>148</v>
      </c>
      <c r="D150" s="122">
        <f>F150*D142/1000</f>
        <v>1746.5237992064906</v>
      </c>
      <c r="E150" s="122">
        <f>F150*E142/1000</f>
        <v>349.30475984129811</v>
      </c>
      <c r="F150" s="123">
        <f>F131*D70</f>
        <v>5821.7459973549685</v>
      </c>
      <c r="G150" s="124">
        <v>174</v>
      </c>
      <c r="H150" s="123">
        <f>F150*G150</f>
        <v>1012983.8035397645</v>
      </c>
      <c r="I150"/>
      <c r="J150"/>
      <c r="K150"/>
      <c r="N150"/>
      <c r="O150"/>
      <c r="P150"/>
    </row>
    <row r="151" spans="1:16" ht="15" customHeight="1" x14ac:dyDescent="0.25">
      <c r="B151"/>
      <c r="C151" s="50" t="s">
        <v>149</v>
      </c>
      <c r="D151" s="125">
        <f>F151*D143/1000</f>
        <v>1017.6790496780058</v>
      </c>
      <c r="E151" s="125">
        <f>F151*E143/1000</f>
        <v>101.76790496780058</v>
      </c>
      <c r="F151" s="126">
        <f>G136</f>
        <v>5088.3952483900284</v>
      </c>
      <c r="G151" s="124">
        <v>129</v>
      </c>
      <c r="H151" s="123">
        <f>F151*G151</f>
        <v>656402.98704231367</v>
      </c>
      <c r="I151"/>
      <c r="J151"/>
      <c r="K151"/>
      <c r="N151"/>
      <c r="O151"/>
      <c r="P151"/>
    </row>
    <row r="152" spans="1:16" ht="15" customHeight="1" x14ac:dyDescent="0.25">
      <c r="B152"/>
      <c r="C152" s="127" t="s">
        <v>90</v>
      </c>
      <c r="D152" s="56">
        <f>SUM(D149:D151)</f>
        <v>3514.2247434064025</v>
      </c>
      <c r="E152" s="56">
        <f>SUM(E149:E151)</f>
        <v>601.07704371347995</v>
      </c>
      <c r="F152" s="56">
        <f>SUM(F149:F151)</f>
        <v>14660.250718354528</v>
      </c>
      <c r="G152" s="128" t="s">
        <v>91</v>
      </c>
      <c r="H152" s="56">
        <f>SUM(H149:H151)</f>
        <v>2149400.8030760977</v>
      </c>
      <c r="I152"/>
      <c r="J152"/>
      <c r="K152"/>
      <c r="N152"/>
      <c r="O152"/>
      <c r="P152"/>
    </row>
    <row r="153" spans="1:16" ht="15" customHeight="1" x14ac:dyDescent="0.25">
      <c r="B153"/>
      <c r="D153" s="122"/>
      <c r="E153" s="123"/>
      <c r="F153" s="122"/>
      <c r="H153" s="3"/>
      <c r="I153"/>
      <c r="J153"/>
      <c r="K153"/>
      <c r="N153"/>
      <c r="O153"/>
      <c r="P153"/>
    </row>
    <row r="154" spans="1:16" ht="15" customHeight="1" x14ac:dyDescent="0.25">
      <c r="B154"/>
      <c r="C154" s="57" t="s">
        <v>92</v>
      </c>
      <c r="D154" s="58">
        <f>H152/F152</f>
        <v>146.61419128289964</v>
      </c>
      <c r="E154" s="33" t="s">
        <v>68</v>
      </c>
      <c r="F154" s="33" t="s">
        <v>93</v>
      </c>
      <c r="H154" s="3"/>
      <c r="I154"/>
      <c r="J154"/>
      <c r="K154"/>
      <c r="N154"/>
      <c r="O154"/>
      <c r="P154"/>
    </row>
    <row r="155" spans="1:16" ht="15" customHeight="1" x14ac:dyDescent="0.25">
      <c r="I155"/>
      <c r="J155"/>
      <c r="K155"/>
      <c r="N155"/>
      <c r="O155"/>
      <c r="P155"/>
    </row>
    <row r="156" spans="1:16" ht="15" customHeight="1" x14ac:dyDescent="0.25">
      <c r="I156"/>
      <c r="J156"/>
      <c r="K156"/>
      <c r="N156"/>
      <c r="O156"/>
      <c r="P156"/>
    </row>
    <row r="157" spans="1:16" ht="15" customHeight="1" x14ac:dyDescent="0.2">
      <c r="A157" s="43" t="s">
        <v>150</v>
      </c>
      <c r="B157" s="2" t="s">
        <v>151</v>
      </c>
    </row>
    <row r="158" spans="1:16" ht="15" customHeight="1" x14ac:dyDescent="0.2">
      <c r="A158" s="11"/>
      <c r="B158" s="11"/>
    </row>
    <row r="159" spans="1:16" ht="15" customHeight="1" x14ac:dyDescent="0.5">
      <c r="A159" s="11"/>
      <c r="B159" s="100" t="s">
        <v>152</v>
      </c>
    </row>
    <row r="160" spans="1:16" ht="15" customHeight="1" x14ac:dyDescent="0.5">
      <c r="A160" s="11"/>
      <c r="B160" s="100"/>
    </row>
    <row r="161" spans="1:2" ht="15" customHeight="1" x14ac:dyDescent="0.5">
      <c r="A161" s="11"/>
      <c r="B161" s="42" t="s">
        <v>153</v>
      </c>
    </row>
    <row r="162" spans="1:2" ht="15" customHeight="1" x14ac:dyDescent="0.2">
      <c r="A162" s="11"/>
      <c r="B162" s="42" t="s">
        <v>154</v>
      </c>
    </row>
    <row r="163" spans="1:2" ht="15" customHeight="1" x14ac:dyDescent="0.2">
      <c r="A163" s="11"/>
      <c r="B163" s="42"/>
    </row>
    <row r="164" spans="1:2" ht="15" customHeight="1" x14ac:dyDescent="0.2">
      <c r="A164" s="11"/>
      <c r="B164" s="42"/>
    </row>
    <row r="165" spans="1:2" ht="15" customHeight="1" x14ac:dyDescent="0.2">
      <c r="A165" s="11"/>
      <c r="B165" s="42"/>
    </row>
    <row r="166" spans="1:2" ht="15" customHeight="1" x14ac:dyDescent="0.2">
      <c r="A166" s="11"/>
      <c r="B166" s="42"/>
    </row>
    <row r="167" spans="1:2" ht="15" customHeight="1" x14ac:dyDescent="0.2">
      <c r="A167" s="11"/>
      <c r="B167" s="42"/>
    </row>
    <row r="168" spans="1:2" ht="15" customHeight="1" x14ac:dyDescent="0.2">
      <c r="A168" s="11"/>
      <c r="B168" s="42"/>
    </row>
    <row r="169" spans="1:2" ht="15" customHeight="1" x14ac:dyDescent="0.2">
      <c r="A169" s="11"/>
      <c r="B169" s="42"/>
    </row>
    <row r="170" spans="1:2" ht="15" customHeight="1" x14ac:dyDescent="0.2">
      <c r="A170" s="11"/>
      <c r="B170" s="42"/>
    </row>
    <row r="171" spans="1:2" ht="15" customHeight="1" x14ac:dyDescent="0.2">
      <c r="A171" s="11"/>
      <c r="B171" s="42"/>
    </row>
    <row r="172" spans="1:2" ht="15" customHeight="1" x14ac:dyDescent="0.2">
      <c r="A172" s="11"/>
      <c r="B172" s="42"/>
    </row>
    <row r="173" spans="1:2" ht="15" customHeight="1" x14ac:dyDescent="0.2">
      <c r="A173" s="11"/>
      <c r="B173" s="42"/>
    </row>
    <row r="174" spans="1:2" ht="15" customHeight="1" x14ac:dyDescent="0.2">
      <c r="A174" s="11"/>
      <c r="B174" s="42"/>
    </row>
    <row r="175" spans="1:2" ht="15" customHeight="1" x14ac:dyDescent="0.2">
      <c r="A175" s="11"/>
      <c r="B175" s="42"/>
    </row>
    <row r="176" spans="1:2" ht="15" customHeight="1" x14ac:dyDescent="0.2">
      <c r="A176" s="11"/>
      <c r="B176" s="42"/>
    </row>
    <row r="177" spans="1:12" ht="15" customHeight="1" x14ac:dyDescent="0.2">
      <c r="A177" s="11"/>
      <c r="B177" s="42"/>
    </row>
    <row r="178" spans="1:12" ht="15" customHeight="1" x14ac:dyDescent="0.2">
      <c r="A178" s="11"/>
      <c r="B178" s="42"/>
    </row>
    <row r="179" spans="1:12" ht="15" customHeight="1" x14ac:dyDescent="0.2">
      <c r="A179" s="11"/>
      <c r="B179" s="42"/>
    </row>
    <row r="180" spans="1:12" ht="15" customHeight="1" x14ac:dyDescent="0.2">
      <c r="A180" s="11"/>
      <c r="B180" s="11"/>
      <c r="C180" s="40"/>
      <c r="D180" s="129"/>
      <c r="E180" s="4"/>
    </row>
    <row r="181" spans="1:12" ht="15" customHeight="1" x14ac:dyDescent="0.25">
      <c r="A181" s="11"/>
      <c r="B181" s="11"/>
      <c r="C181" t="s">
        <v>155</v>
      </c>
      <c r="D181" s="129"/>
      <c r="E181" s="4"/>
    </row>
    <row r="182" spans="1:12" ht="15" customHeight="1" x14ac:dyDescent="0.25">
      <c r="B182"/>
      <c r="C182"/>
      <c r="D182"/>
      <c r="E182"/>
      <c r="G182" s="47">
        <f>IF(AND(K187&gt;=0,K187&lt;=125.39),(IF(K187&lt;=9.17,(-4.3986*K187^2+124.79*K187+110.2)*1000,(-0.128*K187^2+57.311*K187+369.83)*1000) ),"O parametro z esta fora da validade da curva.")</f>
        <v>271447.16044371098</v>
      </c>
      <c r="H182" s="11" t="s">
        <v>76</v>
      </c>
      <c r="I182" s="184" t="s">
        <v>409</v>
      </c>
    </row>
    <row r="183" spans="1:12" ht="21.75" customHeight="1" x14ac:dyDescent="0.25">
      <c r="B183"/>
      <c r="C183"/>
      <c r="D183"/>
      <c r="E183"/>
      <c r="G183" s="44"/>
      <c r="H183" s="11"/>
      <c r="I183" s="184"/>
    </row>
    <row r="184" spans="1:12" ht="21" customHeight="1" x14ac:dyDescent="0.2">
      <c r="C184" s="43" t="s">
        <v>156</v>
      </c>
      <c r="F184" s="4"/>
    </row>
    <row r="185" spans="1:12" ht="15" customHeight="1" x14ac:dyDescent="0.2">
      <c r="F185" s="130">
        <f>((hsb1phouse!D163^2)*hsb1phouse!D161*F189)/1000</f>
        <v>2.7141227806230241</v>
      </c>
      <c r="G185" s="2" t="s">
        <v>157</v>
      </c>
      <c r="H185" s="446" t="s">
        <v>590</v>
      </c>
    </row>
    <row r="186" spans="1:12" ht="15" customHeight="1" x14ac:dyDescent="0.2">
      <c r="F186" s="37"/>
      <c r="I186" s="322"/>
      <c r="J186" s="327" t="s">
        <v>470</v>
      </c>
      <c r="K186" s="323">
        <v>2</v>
      </c>
      <c r="L186" s="455" t="s">
        <v>611</v>
      </c>
    </row>
    <row r="187" spans="1:12" ht="15" customHeight="1" x14ac:dyDescent="0.2">
      <c r="F187" s="3">
        <f>C14</f>
        <v>4.4547727214752495</v>
      </c>
      <c r="G187" s="2" t="s">
        <v>1</v>
      </c>
      <c r="J187" s="327" t="s">
        <v>464</v>
      </c>
      <c r="K187" s="324">
        <f>F185/K186</f>
        <v>1.3570613903115121</v>
      </c>
      <c r="L187" s="322" t="s">
        <v>465</v>
      </c>
    </row>
    <row r="188" spans="1:12" ht="15" customHeight="1" x14ac:dyDescent="0.2">
      <c r="F188" s="37"/>
    </row>
    <row r="189" spans="1:12" ht="15" customHeight="1" x14ac:dyDescent="0.2">
      <c r="F189" s="37">
        <f>C15-C16</f>
        <v>32.563351457402291</v>
      </c>
    </row>
    <row r="190" spans="1:12" ht="15" customHeight="1" x14ac:dyDescent="0.2">
      <c r="F190" s="37"/>
    </row>
    <row r="191" spans="1:12" ht="30" customHeight="1" x14ac:dyDescent="0.2">
      <c r="B191" s="465" t="s">
        <v>158</v>
      </c>
      <c r="C191" s="465"/>
      <c r="D191" s="465"/>
      <c r="E191" s="465"/>
      <c r="F191" s="3">
        <f>G182*0.41</f>
        <v>111293.3357819215</v>
      </c>
      <c r="G191" s="114" t="s">
        <v>159</v>
      </c>
    </row>
    <row r="192" spans="1:12" ht="19.5" customHeight="1" x14ac:dyDescent="0.2">
      <c r="B192" s="8" t="s">
        <v>160</v>
      </c>
      <c r="C192" s="8"/>
      <c r="D192" s="8"/>
      <c r="E192" s="8"/>
      <c r="F192" s="2">
        <f>G182+F191</f>
        <v>382740.49622563249</v>
      </c>
      <c r="G192" s="114" t="s">
        <v>159</v>
      </c>
    </row>
    <row r="193" spans="2:9" ht="15" customHeight="1" x14ac:dyDescent="0.2"/>
    <row r="194" spans="2:9" ht="15" customHeight="1" x14ac:dyDescent="0.5">
      <c r="B194" s="100" t="s">
        <v>161</v>
      </c>
      <c r="C194" s="40"/>
      <c r="D194" s="129"/>
      <c r="G194"/>
      <c r="H194"/>
      <c r="I194"/>
    </row>
    <row r="195" spans="2:9" ht="15" customHeight="1" x14ac:dyDescent="0.5">
      <c r="B195" s="100"/>
      <c r="C195"/>
      <c r="D195" s="129"/>
      <c r="G195" s="11"/>
      <c r="H195" s="11"/>
      <c r="I195"/>
    </row>
    <row r="196" spans="2:9" ht="15" customHeight="1" x14ac:dyDescent="0.5">
      <c r="B196" s="42" t="s">
        <v>162</v>
      </c>
      <c r="C196"/>
      <c r="D196" s="129"/>
      <c r="G196"/>
      <c r="H196"/>
      <c r="I196"/>
    </row>
    <row r="197" spans="2:9" ht="15" customHeight="1" x14ac:dyDescent="0.25">
      <c r="B197" s="131" t="s">
        <v>163</v>
      </c>
      <c r="C197"/>
      <c r="D197" s="129"/>
      <c r="G197"/>
      <c r="H197"/>
      <c r="I197"/>
    </row>
    <row r="198" spans="2:9" ht="15" customHeight="1" x14ac:dyDescent="0.25">
      <c r="B198" s="131"/>
      <c r="C198"/>
      <c r="D198" s="129"/>
      <c r="G198"/>
      <c r="H198"/>
      <c r="I198"/>
    </row>
    <row r="199" spans="2:9" ht="15" customHeight="1" x14ac:dyDescent="0.25">
      <c r="B199" s="131"/>
      <c r="C199"/>
      <c r="D199" s="129"/>
      <c r="G199"/>
      <c r="H199"/>
      <c r="I199"/>
    </row>
    <row r="200" spans="2:9" ht="15" customHeight="1" x14ac:dyDescent="0.25">
      <c r="B200" s="131"/>
      <c r="C200"/>
      <c r="D200" s="129"/>
      <c r="G200"/>
      <c r="H200"/>
      <c r="I200"/>
    </row>
    <row r="201" spans="2:9" ht="15" customHeight="1" x14ac:dyDescent="0.25">
      <c r="B201" s="131"/>
      <c r="C201"/>
      <c r="D201" s="129"/>
      <c r="G201"/>
      <c r="H201"/>
      <c r="I201"/>
    </row>
    <row r="202" spans="2:9" ht="15" customHeight="1" x14ac:dyDescent="0.25">
      <c r="B202" s="131"/>
      <c r="C202"/>
      <c r="D202" s="129"/>
      <c r="G202"/>
      <c r="H202"/>
      <c r="I202"/>
    </row>
    <row r="203" spans="2:9" ht="15" customHeight="1" x14ac:dyDescent="0.25">
      <c r="B203" s="131"/>
      <c r="C203"/>
      <c r="D203" s="129"/>
      <c r="G203"/>
      <c r="H203"/>
      <c r="I203"/>
    </row>
    <row r="204" spans="2:9" ht="15" customHeight="1" x14ac:dyDescent="0.25">
      <c r="B204" s="131"/>
      <c r="C204"/>
      <c r="D204" s="129"/>
      <c r="G204"/>
      <c r="H204"/>
      <c r="I204"/>
    </row>
    <row r="205" spans="2:9" ht="15" customHeight="1" x14ac:dyDescent="0.25">
      <c r="B205" s="131"/>
      <c r="C205"/>
      <c r="D205" s="129"/>
      <c r="G205"/>
      <c r="H205"/>
      <c r="I205"/>
    </row>
    <row r="206" spans="2:9" ht="15" customHeight="1" x14ac:dyDescent="0.25">
      <c r="B206" s="131"/>
      <c r="C206"/>
      <c r="D206" s="129"/>
      <c r="G206"/>
      <c r="H206"/>
      <c r="I206"/>
    </row>
    <row r="207" spans="2:9" ht="15" customHeight="1" x14ac:dyDescent="0.25">
      <c r="B207" s="131"/>
      <c r="C207"/>
      <c r="D207" s="129"/>
      <c r="G207"/>
      <c r="H207"/>
      <c r="I207"/>
    </row>
    <row r="208" spans="2:9" ht="15" customHeight="1" x14ac:dyDescent="0.25">
      <c r="B208" s="131"/>
      <c r="C208"/>
      <c r="D208" s="129"/>
      <c r="G208"/>
      <c r="H208"/>
      <c r="I208"/>
    </row>
    <row r="209" spans="1:13" ht="15" customHeight="1" x14ac:dyDescent="0.25">
      <c r="B209" s="131"/>
      <c r="C209"/>
      <c r="D209" s="129"/>
      <c r="G209"/>
      <c r="H209"/>
      <c r="I209"/>
    </row>
    <row r="210" spans="1:13" ht="15" customHeight="1" x14ac:dyDescent="0.25">
      <c r="B210" s="131"/>
      <c r="C210"/>
      <c r="D210" s="129"/>
      <c r="G210"/>
      <c r="H210"/>
      <c r="I210"/>
    </row>
    <row r="211" spans="1:13" ht="15" customHeight="1" x14ac:dyDescent="0.25">
      <c r="B211" s="131"/>
      <c r="C211"/>
      <c r="D211" s="129"/>
      <c r="G211"/>
      <c r="H211"/>
      <c r="I211"/>
    </row>
    <row r="212" spans="1:13" ht="15" customHeight="1" x14ac:dyDescent="0.25">
      <c r="B212" s="131"/>
      <c r="C212"/>
      <c r="D212" s="129"/>
      <c r="G212"/>
      <c r="H212"/>
      <c r="I212"/>
    </row>
    <row r="213" spans="1:13" ht="15" customHeight="1" x14ac:dyDescent="0.25">
      <c r="B213" s="131"/>
      <c r="C213"/>
      <c r="D213" s="129"/>
      <c r="G213"/>
      <c r="H213"/>
      <c r="I213"/>
    </row>
    <row r="214" spans="1:13" ht="15" customHeight="1" x14ac:dyDescent="0.25">
      <c r="B214" s="131"/>
      <c r="C214" s="40"/>
      <c r="D214" s="129"/>
      <c r="G214"/>
      <c r="H214"/>
      <c r="I214"/>
    </row>
    <row r="215" spans="1:13" ht="15" customHeight="1" x14ac:dyDescent="0.25">
      <c r="B215" s="131"/>
      <c r="C215" t="s">
        <v>164</v>
      </c>
      <c r="D215" s="129"/>
      <c r="G215"/>
      <c r="H215"/>
      <c r="I215"/>
    </row>
    <row r="216" spans="1:13" ht="15" customHeight="1" x14ac:dyDescent="0.25">
      <c r="B216" s="131"/>
      <c r="C216"/>
      <c r="D216" s="129"/>
      <c r="G216" s="47">
        <f>IF(AND(K187&gt;=0,K187&lt;=125.39),1000*72.896*K187^0.716,"O parametro z esta fora da validade da curva.")</f>
        <v>90707.863151676996</v>
      </c>
      <c r="H216" s="11" t="s">
        <v>76</v>
      </c>
      <c r="I216" s="184" t="s">
        <v>466</v>
      </c>
    </row>
    <row r="217" spans="1:13" ht="15" customHeight="1" x14ac:dyDescent="0.25">
      <c r="B217" s="131"/>
      <c r="C217"/>
      <c r="D217" s="129"/>
      <c r="G217" s="47"/>
      <c r="H217" s="11"/>
      <c r="I217" s="184" t="s">
        <v>467</v>
      </c>
      <c r="J217" s="184"/>
      <c r="K217" s="184"/>
      <c r="L217" s="184">
        <v>125.39</v>
      </c>
      <c r="M217" s="184" t="s">
        <v>468</v>
      </c>
    </row>
    <row r="218" spans="1:13" ht="30.75" customHeight="1" x14ac:dyDescent="0.25">
      <c r="B218" s="465" t="s">
        <v>158</v>
      </c>
      <c r="C218" s="465"/>
      <c r="D218" s="465"/>
      <c r="E218" s="465"/>
      <c r="F218" s="3">
        <f>G216*0.41</f>
        <v>37190.223892187569</v>
      </c>
      <c r="G218" s="114" t="s">
        <v>159</v>
      </c>
      <c r="H218" s="11"/>
      <c r="I218"/>
    </row>
    <row r="219" spans="1:13" ht="20.25" customHeight="1" x14ac:dyDescent="0.25">
      <c r="B219" s="8" t="s">
        <v>160</v>
      </c>
      <c r="C219" s="8"/>
      <c r="D219" s="8"/>
      <c r="E219" s="8"/>
      <c r="F219" s="2">
        <f>G216+F218</f>
        <v>127898.08704386457</v>
      </c>
      <c r="G219" s="114" t="s">
        <v>159</v>
      </c>
      <c r="H219" s="11"/>
      <c r="I219"/>
    </row>
    <row r="220" spans="1:13" ht="15" customHeight="1" x14ac:dyDescent="0.25">
      <c r="B220" s="131"/>
      <c r="C220"/>
      <c r="D220" s="129"/>
      <c r="G220"/>
      <c r="H220"/>
      <c r="I220"/>
    </row>
    <row r="221" spans="1:13" ht="15" customHeight="1" x14ac:dyDescent="0.5">
      <c r="A221" s="99"/>
      <c r="B221" s="42" t="s">
        <v>165</v>
      </c>
      <c r="C221" s="40"/>
      <c r="D221" s="40"/>
    </row>
    <row r="222" spans="1:13" ht="15" customHeight="1" x14ac:dyDescent="0.2">
      <c r="A222" s="99"/>
      <c r="B222" s="2" t="s">
        <v>166</v>
      </c>
    </row>
    <row r="223" spans="1:13" ht="15" customHeight="1" x14ac:dyDescent="0.2">
      <c r="A223" s="99"/>
      <c r="G223" s="44">
        <f>2*D70*(E73-1)*2084.8</f>
        <v>329926.70047356922</v>
      </c>
      <c r="H223" s="11" t="s">
        <v>76</v>
      </c>
    </row>
    <row r="224" spans="1:13" ht="15" customHeight="1" x14ac:dyDescent="0.2">
      <c r="A224" s="99"/>
      <c r="G224" s="44"/>
      <c r="H224" s="11"/>
    </row>
    <row r="225" spans="1:8" ht="29.25" customHeight="1" x14ac:dyDescent="0.2">
      <c r="A225" s="99"/>
      <c r="B225" s="465" t="s">
        <v>158</v>
      </c>
      <c r="C225" s="465"/>
      <c r="D225" s="465"/>
      <c r="E225" s="465"/>
      <c r="F225" s="3">
        <f>G223*0.41</f>
        <v>135269.94719416337</v>
      </c>
      <c r="G225" s="114" t="s">
        <v>76</v>
      </c>
      <c r="H225" s="11"/>
    </row>
    <row r="226" spans="1:8" ht="20.25" customHeight="1" x14ac:dyDescent="0.2">
      <c r="A226" s="99"/>
      <c r="B226" s="8" t="s">
        <v>167</v>
      </c>
      <c r="C226" s="8"/>
      <c r="D226" s="8"/>
      <c r="E226" s="8"/>
      <c r="F226" s="2">
        <f>G223+F225</f>
        <v>465196.64766773256</v>
      </c>
      <c r="G226" s="114" t="s">
        <v>76</v>
      </c>
    </row>
    <row r="227" spans="1:8" ht="15" customHeight="1" x14ac:dyDescent="0.2">
      <c r="G227" s="6"/>
      <c r="H227" s="4"/>
    </row>
    <row r="228" spans="1:8" ht="15" customHeight="1" x14ac:dyDescent="0.5">
      <c r="B228" s="132" t="s">
        <v>168</v>
      </c>
    </row>
    <row r="229" spans="1:8" ht="15" customHeight="1" x14ac:dyDescent="0.2">
      <c r="A229" s="99"/>
      <c r="B229" s="42"/>
    </row>
    <row r="230" spans="1:8" ht="15" customHeight="1" x14ac:dyDescent="0.5">
      <c r="A230" s="99"/>
      <c r="B230" s="42" t="s">
        <v>169</v>
      </c>
    </row>
    <row r="231" spans="1:8" ht="15" customHeight="1" x14ac:dyDescent="0.2">
      <c r="A231" s="99"/>
      <c r="B231" s="2" t="s">
        <v>166</v>
      </c>
    </row>
    <row r="232" spans="1:8" ht="15" customHeight="1" x14ac:dyDescent="0.2">
      <c r="A232" s="99"/>
    </row>
    <row r="233" spans="1:8" ht="15" customHeight="1" x14ac:dyDescent="0.2">
      <c r="A233" s="99"/>
    </row>
    <row r="234" spans="1:8" ht="15" customHeight="1" x14ac:dyDescent="0.2">
      <c r="A234" s="99"/>
    </row>
    <row r="235" spans="1:8" ht="15" customHeight="1" x14ac:dyDescent="0.2">
      <c r="A235" s="99"/>
    </row>
    <row r="236" spans="1:8" ht="15" customHeight="1" x14ac:dyDescent="0.2">
      <c r="A236" s="99"/>
    </row>
    <row r="237" spans="1:8" ht="15" customHeight="1" x14ac:dyDescent="0.2">
      <c r="A237" s="99"/>
    </row>
    <row r="238" spans="1:8" ht="15" customHeight="1" x14ac:dyDescent="0.2">
      <c r="A238" s="99"/>
    </row>
    <row r="239" spans="1:8" ht="15" customHeight="1" x14ac:dyDescent="0.2">
      <c r="A239" s="99"/>
    </row>
    <row r="240" spans="1:8" ht="15" customHeight="1" x14ac:dyDescent="0.2">
      <c r="A240" s="99"/>
    </row>
    <row r="241" spans="1:15" ht="15" customHeight="1" x14ac:dyDescent="0.2">
      <c r="A241" s="99"/>
    </row>
    <row r="242" spans="1:15" ht="15" customHeight="1" x14ac:dyDescent="0.2">
      <c r="A242" s="99"/>
    </row>
    <row r="243" spans="1:15" ht="15" customHeight="1" x14ac:dyDescent="0.2">
      <c r="A243" s="99"/>
    </row>
    <row r="244" spans="1:15" ht="15" customHeight="1" x14ac:dyDescent="0.2">
      <c r="A244" s="99"/>
    </row>
    <row r="245" spans="1:15" ht="15" customHeight="1" x14ac:dyDescent="0.2">
      <c r="A245" s="99"/>
    </row>
    <row r="246" spans="1:15" ht="15" customHeight="1" x14ac:dyDescent="0.2">
      <c r="A246" s="99"/>
    </row>
    <row r="247" spans="1:15" ht="15" customHeight="1" x14ac:dyDescent="0.2">
      <c r="A247" s="99"/>
    </row>
    <row r="248" spans="1:15" ht="15" customHeight="1" x14ac:dyDescent="0.2">
      <c r="A248" s="99"/>
    </row>
    <row r="249" spans="1:15" ht="15" customHeight="1" x14ac:dyDescent="0.2">
      <c r="A249" s="99"/>
    </row>
    <row r="250" spans="1:15" ht="15" customHeight="1" x14ac:dyDescent="0.2">
      <c r="A250" s="99"/>
    </row>
    <row r="251" spans="1:15" ht="15" customHeight="1" x14ac:dyDescent="0.25">
      <c r="A251" s="99"/>
      <c r="C251" t="s">
        <v>170</v>
      </c>
    </row>
    <row r="252" spans="1:15" ht="15" customHeight="1" x14ac:dyDescent="0.25">
      <c r="A252" s="99"/>
      <c r="C252"/>
      <c r="G252" s="44">
        <f>IF(AND(K187&gt;=0,K187&lt;=125.39),(-0.71*(K187^2)+97.3*K187+57.78)*1000, "O parametro z esta fora da validade da curva.")</f>
        <v>188514.52618918743</v>
      </c>
      <c r="H252" s="11" t="s">
        <v>76</v>
      </c>
      <c r="K252" s="184" t="s">
        <v>466</v>
      </c>
    </row>
    <row r="253" spans="1:15" ht="15" customHeight="1" x14ac:dyDescent="0.25">
      <c r="A253" s="99"/>
      <c r="C253"/>
      <c r="G253" s="44"/>
      <c r="H253" s="11"/>
      <c r="K253" s="184" t="s">
        <v>467</v>
      </c>
      <c r="L253" s="184"/>
      <c r="M253" s="184"/>
      <c r="N253" s="184">
        <v>125.39</v>
      </c>
      <c r="O253" s="184" t="s">
        <v>468</v>
      </c>
    </row>
    <row r="254" spans="1:15" ht="29.25" customHeight="1" x14ac:dyDescent="0.2">
      <c r="A254" s="99"/>
      <c r="C254" s="465" t="s">
        <v>158</v>
      </c>
      <c r="D254" s="465"/>
      <c r="E254" s="465"/>
      <c r="F254" s="465"/>
      <c r="G254" s="3">
        <f>G252*0.41</f>
        <v>77290.955737566837</v>
      </c>
      <c r="H254" s="114" t="s">
        <v>76</v>
      </c>
    </row>
    <row r="255" spans="1:15" ht="21" customHeight="1" x14ac:dyDescent="0.2">
      <c r="A255" s="99"/>
      <c r="C255" s="8" t="s">
        <v>171</v>
      </c>
      <c r="D255" s="8"/>
      <c r="E255" s="8"/>
      <c r="F255" s="8"/>
      <c r="G255" s="2">
        <f>G252+G254</f>
        <v>265805.48192675423</v>
      </c>
      <c r="H255" s="114" t="s">
        <v>76</v>
      </c>
    </row>
    <row r="256" spans="1:15" ht="15" customHeight="1" x14ac:dyDescent="0.2">
      <c r="A256" s="99"/>
    </row>
    <row r="257" spans="2:2" ht="15" customHeight="1" x14ac:dyDescent="0.5">
      <c r="B257" s="35" t="s">
        <v>172</v>
      </c>
    </row>
    <row r="258" spans="2:2" ht="15" customHeight="1" x14ac:dyDescent="0.5">
      <c r="B258" s="35"/>
    </row>
    <row r="259" spans="2:2" ht="15" customHeight="1" x14ac:dyDescent="0.5">
      <c r="B259" s="35"/>
    </row>
    <row r="260" spans="2:2" ht="15" customHeight="1" x14ac:dyDescent="0.5">
      <c r="B260" s="35"/>
    </row>
    <row r="261" spans="2:2" ht="15" customHeight="1" x14ac:dyDescent="0.5">
      <c r="B261" s="35"/>
    </row>
    <row r="262" spans="2:2" ht="15" customHeight="1" x14ac:dyDescent="0.5">
      <c r="B262" s="35"/>
    </row>
    <row r="263" spans="2:2" ht="15" customHeight="1" x14ac:dyDescent="0.5">
      <c r="B263" s="35"/>
    </row>
    <row r="264" spans="2:2" ht="15" customHeight="1" x14ac:dyDescent="0.5">
      <c r="B264" s="35"/>
    </row>
    <row r="265" spans="2:2" ht="15" customHeight="1" x14ac:dyDescent="0.5">
      <c r="B265" s="35"/>
    </row>
    <row r="266" spans="2:2" ht="15" customHeight="1" x14ac:dyDescent="0.5">
      <c r="B266" s="35"/>
    </row>
    <row r="267" spans="2:2" ht="15" customHeight="1" x14ac:dyDescent="0.5">
      <c r="B267" s="35"/>
    </row>
    <row r="268" spans="2:2" ht="15" customHeight="1" x14ac:dyDescent="0.5">
      <c r="B268" s="35"/>
    </row>
    <row r="269" spans="2:2" ht="15" customHeight="1" x14ac:dyDescent="0.5">
      <c r="B269" s="35"/>
    </row>
    <row r="270" spans="2:2" ht="15" customHeight="1" x14ac:dyDescent="0.5">
      <c r="B270" s="35"/>
    </row>
    <row r="271" spans="2:2" ht="15" customHeight="1" x14ac:dyDescent="0.5">
      <c r="B271" s="35"/>
    </row>
    <row r="272" spans="2:2" ht="15" customHeight="1" x14ac:dyDescent="0.5">
      <c r="B272" s="35"/>
    </row>
    <row r="273" spans="1:11" ht="15" customHeight="1" x14ac:dyDescent="0.5">
      <c r="B273" s="35"/>
    </row>
    <row r="274" spans="1:11" ht="15" customHeight="1" x14ac:dyDescent="0.25">
      <c r="C274" t="s">
        <v>173</v>
      </c>
    </row>
    <row r="275" spans="1:11" ht="15" customHeight="1" x14ac:dyDescent="0.2">
      <c r="C275" s="6"/>
    </row>
    <row r="276" spans="1:11" ht="15" customHeight="1" x14ac:dyDescent="0.25">
      <c r="C276" s="6"/>
      <c r="E276" s="44">
        <f>IF(AND(C19/C12&gt;=2,C19/C12&lt;=750),5.35*1000*C19,"Vazao fora da validade da curva.")</f>
        <v>393761.72244103771</v>
      </c>
      <c r="F276" s="11" t="s">
        <v>76</v>
      </c>
      <c r="G276"/>
      <c r="I276" s="196" t="s">
        <v>474</v>
      </c>
    </row>
    <row r="277" spans="1:11" ht="15" customHeight="1" x14ac:dyDescent="0.25">
      <c r="C277" s="6"/>
      <c r="E277" s="44"/>
      <c r="F277" s="11"/>
      <c r="G277"/>
    </row>
    <row r="278" spans="1:11" ht="28.5" customHeight="1" x14ac:dyDescent="0.2">
      <c r="C278" s="465" t="s">
        <v>158</v>
      </c>
      <c r="D278" s="465"/>
      <c r="E278" s="465"/>
      <c r="F278" s="465"/>
      <c r="G278" s="3">
        <f>E276*0.41</f>
        <v>161442.30620082546</v>
      </c>
      <c r="H278" s="114" t="s">
        <v>76</v>
      </c>
    </row>
    <row r="279" spans="1:11" ht="21" customHeight="1" x14ac:dyDescent="0.2">
      <c r="C279" s="8" t="s">
        <v>174</v>
      </c>
      <c r="D279" s="8"/>
      <c r="E279" s="8"/>
      <c r="F279" s="8"/>
      <c r="G279" s="2">
        <f>E276+G278</f>
        <v>555204.02864186314</v>
      </c>
      <c r="H279" s="114" t="s">
        <v>76</v>
      </c>
    </row>
    <row r="280" spans="1:11" ht="15" customHeight="1" x14ac:dyDescent="0.25">
      <c r="F280"/>
    </row>
    <row r="281" spans="1:11" ht="15" customHeight="1" x14ac:dyDescent="0.2">
      <c r="A281" s="133" t="s">
        <v>175</v>
      </c>
      <c r="C281" s="3"/>
      <c r="D281" s="3"/>
      <c r="E281" s="3"/>
      <c r="F281" s="3"/>
      <c r="J281" s="134"/>
      <c r="K281" s="59"/>
    </row>
    <row r="282" spans="1:11" ht="15" customHeight="1" thickBot="1" x14ac:dyDescent="0.25">
      <c r="B282" s="3"/>
      <c r="D282" s="3"/>
      <c r="E282" s="3"/>
      <c r="F282" s="3"/>
      <c r="G282" s="3"/>
      <c r="J282" s="5" t="s">
        <v>176</v>
      </c>
    </row>
    <row r="283" spans="1:11" ht="25.5" customHeight="1" x14ac:dyDescent="0.2">
      <c r="B283" s="60"/>
      <c r="C283" s="61"/>
      <c r="D283" s="61"/>
      <c r="E283" s="61"/>
      <c r="F283" s="61"/>
      <c r="G283" s="62"/>
      <c r="H283" s="60"/>
      <c r="I283" s="63" t="s">
        <v>95</v>
      </c>
      <c r="J283" s="64" t="s">
        <v>96</v>
      </c>
    </row>
    <row r="284" spans="1:11" ht="15" customHeight="1" x14ac:dyDescent="0.2">
      <c r="B284" s="65" t="s">
        <v>97</v>
      </c>
      <c r="C284" s="66" t="s">
        <v>98</v>
      </c>
      <c r="D284" s="66"/>
      <c r="E284" s="66"/>
      <c r="F284" s="66"/>
      <c r="G284" s="67" t="s">
        <v>99</v>
      </c>
      <c r="H284" s="68" t="s">
        <v>100</v>
      </c>
      <c r="I284" s="69" t="s">
        <v>76</v>
      </c>
      <c r="J284" s="70" t="s">
        <v>101</v>
      </c>
    </row>
    <row r="285" spans="1:11" ht="15" customHeight="1" thickBot="1" x14ac:dyDescent="0.25">
      <c r="B285" s="71"/>
      <c r="C285" s="72"/>
      <c r="D285" s="72"/>
      <c r="E285" s="72"/>
      <c r="F285" s="72"/>
      <c r="G285" s="73"/>
      <c r="H285" s="74"/>
      <c r="I285" s="75"/>
      <c r="J285" s="76"/>
    </row>
    <row r="286" spans="1:11" s="32" customFormat="1" ht="15" customHeight="1" x14ac:dyDescent="0.2">
      <c r="B286" s="77" t="s">
        <v>177</v>
      </c>
      <c r="C286" s="135" t="s">
        <v>178</v>
      </c>
      <c r="D286" s="77"/>
      <c r="E286" s="77"/>
      <c r="F286" s="77"/>
      <c r="G286" s="77"/>
      <c r="H286" s="79"/>
      <c r="I286" s="78"/>
      <c r="J286" s="136">
        <f>J287+J290+J291+J295+J301</f>
        <v>4176.860221243337</v>
      </c>
    </row>
    <row r="287" spans="1:11" s="32" customFormat="1" ht="15" customHeight="1" x14ac:dyDescent="0.2">
      <c r="B287" s="77" t="s">
        <v>179</v>
      </c>
      <c r="C287" s="77" t="s">
        <v>180</v>
      </c>
      <c r="D287" s="77"/>
      <c r="E287" s="79"/>
      <c r="F287" s="77"/>
      <c r="G287" s="80" t="s">
        <v>103</v>
      </c>
      <c r="H287" s="79"/>
      <c r="I287" s="78"/>
      <c r="J287" s="136">
        <f>J288+J289</f>
        <v>-3494.2448114744698</v>
      </c>
    </row>
    <row r="288" spans="1:11" s="32" customFormat="1" ht="15" customHeight="1" x14ac:dyDescent="0.2">
      <c r="B288" s="77" t="s">
        <v>181</v>
      </c>
      <c r="C288" s="77" t="s">
        <v>182</v>
      </c>
      <c r="D288" s="77"/>
      <c r="E288" s="77"/>
      <c r="F288" s="77"/>
      <c r="G288" s="80" t="s">
        <v>54</v>
      </c>
      <c r="H288" s="79">
        <f>E96</f>
        <v>341.96721510315103</v>
      </c>
      <c r="I288" s="78">
        <v>7.6</v>
      </c>
      <c r="J288" s="136">
        <f>H288*I288/1000</f>
        <v>2.5989508347839476</v>
      </c>
    </row>
    <row r="289" spans="2:12" s="32" customFormat="1" ht="15" customHeight="1" x14ac:dyDescent="0.2">
      <c r="B289" s="77" t="s">
        <v>183</v>
      </c>
      <c r="C289" s="77" t="s">
        <v>184</v>
      </c>
      <c r="D289" s="77"/>
      <c r="E289" s="77"/>
      <c r="F289" s="77"/>
      <c r="G289" s="80" t="s">
        <v>54</v>
      </c>
      <c r="H289" s="79">
        <f>F100</f>
        <v>-166516.36963377398</v>
      </c>
      <c r="I289" s="78">
        <v>21</v>
      </c>
      <c r="J289" s="136">
        <f>H289*I289/1000</f>
        <v>-3496.8437623092536</v>
      </c>
    </row>
    <row r="290" spans="2:12" s="32" customFormat="1" ht="15" customHeight="1" x14ac:dyDescent="0.2">
      <c r="B290" s="77" t="s">
        <v>185</v>
      </c>
      <c r="C290" s="77" t="s">
        <v>186</v>
      </c>
      <c r="D290" s="77"/>
      <c r="E290" s="77"/>
      <c r="F290" s="77"/>
      <c r="G290" s="80" t="s">
        <v>103</v>
      </c>
      <c r="H290" s="79"/>
      <c r="I290" s="78"/>
      <c r="J290" s="136">
        <f>F119/1000</f>
        <v>73.992098439595097</v>
      </c>
    </row>
    <row r="291" spans="2:12" s="32" customFormat="1" ht="15" customHeight="1" x14ac:dyDescent="0.2">
      <c r="B291" s="77" t="s">
        <v>187</v>
      </c>
      <c r="C291" s="77" t="s">
        <v>188</v>
      </c>
      <c r="D291" s="77"/>
      <c r="E291" s="77"/>
      <c r="F291" s="77"/>
      <c r="G291" s="80" t="s">
        <v>103</v>
      </c>
      <c r="H291" s="79"/>
      <c r="I291" s="78"/>
      <c r="J291" s="136">
        <f>SUM(J292:J294)</f>
        <v>5973.2113819297538</v>
      </c>
    </row>
    <row r="292" spans="2:12" s="32" customFormat="1" ht="15" customHeight="1" x14ac:dyDescent="0.2">
      <c r="B292" s="77" t="s">
        <v>189</v>
      </c>
      <c r="C292" s="77" t="s">
        <v>190</v>
      </c>
      <c r="D292" s="77"/>
      <c r="E292" s="77"/>
      <c r="F292" s="77"/>
      <c r="G292" s="80" t="s">
        <v>59</v>
      </c>
      <c r="H292" s="79">
        <f>D152</f>
        <v>3514.2247434064025</v>
      </c>
      <c r="I292" s="78">
        <v>348</v>
      </c>
      <c r="J292" s="136">
        <f>H292*I292/1000</f>
        <v>1222.9502107054282</v>
      </c>
    </row>
    <row r="293" spans="2:12" s="32" customFormat="1" ht="15" customHeight="1" x14ac:dyDescent="0.2">
      <c r="B293" s="77" t="s">
        <v>191</v>
      </c>
      <c r="C293" s="77" t="s">
        <v>192</v>
      </c>
      <c r="D293" s="77"/>
      <c r="E293" s="77"/>
      <c r="F293" s="77"/>
      <c r="G293" s="80" t="s">
        <v>54</v>
      </c>
      <c r="H293" s="79">
        <f>F152</f>
        <v>14660.250718354528</v>
      </c>
      <c r="I293" s="78">
        <f>D154</f>
        <v>146.61419128289964</v>
      </c>
      <c r="J293" s="136">
        <f>H293*I293/1000</f>
        <v>2149.4008030760979</v>
      </c>
    </row>
    <row r="294" spans="2:12" s="32" customFormat="1" ht="15" customHeight="1" x14ac:dyDescent="0.2">
      <c r="B294" s="77" t="s">
        <v>193</v>
      </c>
      <c r="C294" s="77" t="s">
        <v>194</v>
      </c>
      <c r="D294" s="77"/>
      <c r="E294" s="77"/>
      <c r="F294" s="77"/>
      <c r="G294" s="80" t="s">
        <v>59</v>
      </c>
      <c r="H294" s="79">
        <f>E152</f>
        <v>601.07704371347995</v>
      </c>
      <c r="I294" s="78">
        <v>4327</v>
      </c>
      <c r="J294" s="136">
        <f>H294*I294/1000</f>
        <v>2600.8603681482277</v>
      </c>
    </row>
    <row r="295" spans="2:12" s="32" customFormat="1" ht="15" customHeight="1" x14ac:dyDescent="0.2">
      <c r="B295" s="77" t="s">
        <v>195</v>
      </c>
      <c r="C295" s="77" t="s">
        <v>196</v>
      </c>
      <c r="D295" s="77"/>
      <c r="E295" s="77"/>
      <c r="F295" s="77"/>
      <c r="G295" s="80" t="s">
        <v>103</v>
      </c>
      <c r="H295" s="79"/>
      <c r="I295" s="78"/>
      <c r="J295" s="136">
        <f>SUM(J296:J300)</f>
        <v>1542.0023323240789</v>
      </c>
    </row>
    <row r="296" spans="2:12" s="32" customFormat="1" ht="15" customHeight="1" x14ac:dyDescent="0.2">
      <c r="B296" s="77" t="s">
        <v>197</v>
      </c>
      <c r="C296" s="77" t="s">
        <v>198</v>
      </c>
      <c r="D296" s="77"/>
      <c r="E296" s="77"/>
      <c r="F296" s="77"/>
      <c r="G296" s="80" t="s">
        <v>199</v>
      </c>
      <c r="H296" s="137"/>
      <c r="I296" s="138">
        <f>F192</f>
        <v>382740.49622563249</v>
      </c>
      <c r="J296" s="136">
        <f>H296*I296/1000</f>
        <v>0</v>
      </c>
      <c r="K296" s="325" t="s">
        <v>469</v>
      </c>
      <c r="L296" s="326"/>
    </row>
    <row r="297" spans="2:12" s="32" customFormat="1" ht="15" customHeight="1" x14ac:dyDescent="0.2">
      <c r="B297" s="77" t="s">
        <v>200</v>
      </c>
      <c r="C297" s="77" t="s">
        <v>201</v>
      </c>
      <c r="D297" s="77"/>
      <c r="E297" s="77"/>
      <c r="F297" s="77"/>
      <c r="G297" s="80" t="s">
        <v>199</v>
      </c>
      <c r="H297" s="137">
        <f>IF(OR(D70=5,D70&lt;5),1,IF(AND(D70&gt;5,D70&lt;11),2,3))*K186</f>
        <v>2</v>
      </c>
      <c r="I297" s="138">
        <f>F219</f>
        <v>127898.08704386457</v>
      </c>
      <c r="J297" s="136">
        <f>H297*I297/1000</f>
        <v>255.79617408772913</v>
      </c>
    </row>
    <row r="298" spans="2:12" s="32" customFormat="1" ht="15" customHeight="1" x14ac:dyDescent="0.2">
      <c r="B298" s="77" t="s">
        <v>202</v>
      </c>
      <c r="C298" s="77" t="s">
        <v>203</v>
      </c>
      <c r="D298" s="77"/>
      <c r="E298" s="77"/>
      <c r="F298" s="77"/>
      <c r="G298" s="80" t="s">
        <v>103</v>
      </c>
      <c r="H298" s="137"/>
      <c r="I298" s="138"/>
      <c r="J298" s="136">
        <f>F226/1000</f>
        <v>465.19664766773258</v>
      </c>
    </row>
    <row r="299" spans="2:12" s="32" customFormat="1" ht="15" customHeight="1" x14ac:dyDescent="0.2">
      <c r="B299" s="77" t="s">
        <v>204</v>
      </c>
      <c r="C299" s="77" t="s">
        <v>205</v>
      </c>
      <c r="D299" s="77"/>
      <c r="E299" s="77"/>
      <c r="F299" s="77"/>
      <c r="G299" s="80" t="s">
        <v>199</v>
      </c>
      <c r="H299" s="137">
        <v>1</v>
      </c>
      <c r="I299" s="138">
        <f>G255</f>
        <v>265805.48192675423</v>
      </c>
      <c r="J299" s="136">
        <f>H299*I299/1000</f>
        <v>265.80548192675423</v>
      </c>
    </row>
    <row r="300" spans="2:12" s="32" customFormat="1" ht="15" customHeight="1" x14ac:dyDescent="0.2">
      <c r="B300" s="77" t="s">
        <v>206</v>
      </c>
      <c r="C300" s="77" t="s">
        <v>207</v>
      </c>
      <c r="D300" s="77"/>
      <c r="E300" s="77"/>
      <c r="F300" s="77"/>
      <c r="G300" s="80" t="s">
        <v>103</v>
      </c>
      <c r="H300" s="137"/>
      <c r="I300" s="138"/>
      <c r="J300" s="136">
        <f>G279/1000</f>
        <v>555.20402864186315</v>
      </c>
    </row>
    <row r="301" spans="2:12" s="32" customFormat="1" ht="15" customHeight="1" x14ac:dyDescent="0.2">
      <c r="B301" s="77" t="s">
        <v>208</v>
      </c>
      <c r="C301" s="77" t="s">
        <v>209</v>
      </c>
      <c r="D301" s="77"/>
      <c r="E301" s="77"/>
      <c r="F301" s="77"/>
      <c r="G301" s="80" t="s">
        <v>39</v>
      </c>
      <c r="H301" s="139">
        <v>2</v>
      </c>
      <c r="I301" s="78">
        <f>(J287+J290+J291+J295)*1000</f>
        <v>4094961.0012189578</v>
      </c>
      <c r="J301" s="136">
        <f>H301*I301/100000</f>
        <v>81.899220024379161</v>
      </c>
    </row>
    <row r="302" spans="2:12" s="32" customFormat="1" ht="15" customHeight="1" thickBot="1" x14ac:dyDescent="0.25">
      <c r="B302" s="81"/>
      <c r="C302" s="81"/>
      <c r="D302" s="81"/>
      <c r="E302" s="81"/>
      <c r="F302" s="81"/>
      <c r="G302" s="81"/>
      <c r="H302" s="81"/>
      <c r="I302" s="140"/>
      <c r="J302" s="81"/>
    </row>
    <row r="305" spans="1:10" x14ac:dyDescent="0.2">
      <c r="A305" s="82" t="s">
        <v>210</v>
      </c>
      <c r="B305" s="83"/>
      <c r="C305" s="83"/>
      <c r="D305" s="83"/>
      <c r="E305" s="83"/>
      <c r="F305" s="83"/>
      <c r="G305" s="83"/>
      <c r="H305" s="46"/>
    </row>
    <row r="306" spans="1:10" ht="13.5" thickBot="1" x14ac:dyDescent="0.25">
      <c r="A306" s="82"/>
      <c r="B306" s="83"/>
      <c r="C306" s="83"/>
      <c r="D306" s="83"/>
      <c r="E306" s="83"/>
      <c r="F306" s="83"/>
      <c r="G306" s="83"/>
      <c r="H306" s="46"/>
    </row>
    <row r="307" spans="1:10" x14ac:dyDescent="0.2">
      <c r="B307" s="466" t="s">
        <v>112</v>
      </c>
      <c r="C307" s="468" t="s">
        <v>113</v>
      </c>
      <c r="D307" s="469"/>
      <c r="E307" s="469"/>
      <c r="F307" s="469"/>
      <c r="G307" s="469"/>
      <c r="H307" s="469"/>
      <c r="I307" s="469"/>
      <c r="J307" s="470"/>
    </row>
    <row r="308" spans="1:10" ht="13.5" thickBot="1" x14ac:dyDescent="0.25">
      <c r="B308" s="467"/>
      <c r="C308" s="471"/>
      <c r="D308" s="472"/>
      <c r="E308" s="472"/>
      <c r="F308" s="472"/>
      <c r="G308" s="472"/>
      <c r="H308" s="472"/>
      <c r="I308" s="472"/>
      <c r="J308" s="473"/>
    </row>
    <row r="309" spans="1:10" x14ac:dyDescent="0.2">
      <c r="B309" s="141" t="str">
        <f>IF(C309="O comprimento de um furo de injeção de cimento está maior que 40m",ROW(F111),"")</f>
        <v/>
      </c>
      <c r="C309" s="142" t="str">
        <f>IF(F111&gt;40,"O comprimento de um furo de injeção de cimento está maior que 40m","")</f>
        <v/>
      </c>
      <c r="D309" s="143"/>
      <c r="E309" s="143"/>
      <c r="F309" s="143"/>
      <c r="G309" s="143"/>
      <c r="H309" s="143"/>
      <c r="I309" s="143"/>
      <c r="J309" s="143"/>
    </row>
    <row r="310" spans="1:10" ht="15" customHeight="1" x14ac:dyDescent="0.2">
      <c r="B310" s="144" t="str">
        <f>IF(C310="O parâmetro z está fora da validade da curva.",ROW(G182),"")</f>
        <v/>
      </c>
      <c r="C310" s="145" t="str">
        <f>IF(G182="O parâmetro z está fora da validade da curva.","O parâmetro z está fora da validade da curva.","")</f>
        <v/>
      </c>
      <c r="D310" s="146"/>
      <c r="E310" s="146"/>
      <c r="F310" s="146"/>
      <c r="G310" s="146"/>
      <c r="H310" s="146"/>
      <c r="I310" s="147"/>
      <c r="J310" s="148"/>
    </row>
    <row r="311" spans="1:10" ht="15" customHeight="1" x14ac:dyDescent="0.2">
      <c r="B311" s="84" t="str">
        <f>IF(C311="O parâmetro z está fora da validade da curva.",ROW(G216),"")</f>
        <v/>
      </c>
      <c r="C311" s="149" t="str">
        <f>IF(G216="O parâmetro z está fora da validade da curva.","O parâmetro z está fora da validade da curva.","")</f>
        <v/>
      </c>
      <c r="D311" s="86"/>
      <c r="E311" s="86"/>
      <c r="F311" s="86"/>
      <c r="G311" s="86"/>
      <c r="H311" s="86"/>
      <c r="I311" s="85"/>
      <c r="J311" s="87"/>
    </row>
    <row r="312" spans="1:10" ht="15" customHeight="1" x14ac:dyDescent="0.2">
      <c r="B312" s="84" t="str">
        <f>IF(C312="O parâmetro z está fora da validade da curva.",ROW(G252),"")</f>
        <v/>
      </c>
      <c r="C312" s="149" t="str">
        <f>IF(G252="O parâmetro z está fora da validade da curva.","O parâmetro z está fora da validade da curva.","")</f>
        <v/>
      </c>
      <c r="D312" s="86"/>
      <c r="E312" s="86"/>
      <c r="F312" s="86"/>
      <c r="G312" s="86"/>
      <c r="H312" s="86"/>
      <c r="I312" s="85"/>
      <c r="J312" s="87"/>
    </row>
    <row r="313" spans="1:10" ht="15" customHeight="1" thickBot="1" x14ac:dyDescent="0.25">
      <c r="B313" s="150" t="str">
        <f>IF(C313="Vazão fora da validade da curva.",ROW(E276),"")</f>
        <v/>
      </c>
      <c r="C313" s="151" t="str">
        <f>IF(E276="Vazão fora da validade da curva.","Vazão fora da validade da curva.","")</f>
        <v/>
      </c>
      <c r="D313" s="152"/>
      <c r="E313" s="152"/>
      <c r="F313" s="152"/>
      <c r="G313" s="152"/>
      <c r="H313" s="152"/>
      <c r="I313" s="88"/>
      <c r="J313" s="89"/>
    </row>
    <row r="314" spans="1:10" x14ac:dyDescent="0.2">
      <c r="B314" s="153"/>
      <c r="C314" s="153"/>
      <c r="D314" s="153"/>
      <c r="E314" s="153"/>
      <c r="F314" s="153"/>
      <c r="G314" s="154"/>
      <c r="H314" s="153"/>
    </row>
  </sheetData>
  <mergeCells count="10">
    <mergeCell ref="C254:F254"/>
    <mergeCell ref="C278:F278"/>
    <mergeCell ref="B307:B308"/>
    <mergeCell ref="C307:J308"/>
    <mergeCell ref="E1:H2"/>
    <mergeCell ref="A3:D3"/>
    <mergeCell ref="J3:K3"/>
    <mergeCell ref="B191:E191"/>
    <mergeCell ref="B218:E218"/>
    <mergeCell ref="B225:E225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10241" r:id="rId4">
          <objectPr defaultSize="0" autoLine="0" autoPict="0" r:id="rId5">
            <anchor moveWithCells="1">
              <from>
                <xdr:col>1</xdr:col>
                <xdr:colOff>638175</xdr:colOff>
                <xdr:row>72</xdr:row>
                <xdr:rowOff>9525</xdr:rowOff>
              </from>
              <to>
                <xdr:col>3</xdr:col>
                <xdr:colOff>742950</xdr:colOff>
                <xdr:row>73</xdr:row>
                <xdr:rowOff>19050</xdr:rowOff>
              </to>
            </anchor>
          </objectPr>
        </oleObject>
      </mc:Choice>
      <mc:Fallback>
        <oleObject progId="Equation.2" shapeId="10241" r:id="rId4"/>
      </mc:Fallback>
    </mc:AlternateContent>
    <mc:AlternateContent xmlns:mc="http://schemas.openxmlformats.org/markup-compatibility/2006">
      <mc:Choice Requires="x14">
        <oleObject progId="Equation.2" shapeId="10242" r:id="rId6">
          <objectPr defaultSize="0" autoLine="0" autoPict="0" r:id="rId7">
            <anchor moveWithCells="1">
              <from>
                <xdr:col>2</xdr:col>
                <xdr:colOff>0</xdr:colOff>
                <xdr:row>79</xdr:row>
                <xdr:rowOff>0</xdr:rowOff>
              </from>
              <to>
                <xdr:col>3</xdr:col>
                <xdr:colOff>409575</xdr:colOff>
                <xdr:row>80</xdr:row>
                <xdr:rowOff>9525</xdr:rowOff>
              </to>
            </anchor>
          </objectPr>
        </oleObject>
      </mc:Choice>
      <mc:Fallback>
        <oleObject progId="Equation.2" shapeId="10242" r:id="rId6"/>
      </mc:Fallback>
    </mc:AlternateContent>
    <mc:AlternateContent xmlns:mc="http://schemas.openxmlformats.org/markup-compatibility/2006">
      <mc:Choice Requires="x14">
        <oleObject progId="Equation.2" shapeId="10243" r:id="rId8">
          <objectPr defaultSize="0" autoLine="0" autoPict="0" r:id="rId9">
            <anchor moveWithCells="1">
              <from>
                <xdr:col>2</xdr:col>
                <xdr:colOff>0</xdr:colOff>
                <xdr:row>83</xdr:row>
                <xdr:rowOff>0</xdr:rowOff>
              </from>
              <to>
                <xdr:col>3</xdr:col>
                <xdr:colOff>762000</xdr:colOff>
                <xdr:row>84</xdr:row>
                <xdr:rowOff>0</xdr:rowOff>
              </to>
            </anchor>
          </objectPr>
        </oleObject>
      </mc:Choice>
      <mc:Fallback>
        <oleObject progId="Equation.2" shapeId="10243" r:id="rId8"/>
      </mc:Fallback>
    </mc:AlternateContent>
    <mc:AlternateContent xmlns:mc="http://schemas.openxmlformats.org/markup-compatibility/2006">
      <mc:Choice Requires="x14">
        <oleObject progId="Equation.2" shapeId="10244" r:id="rId10">
          <objectPr defaultSize="0" autoLine="0" autoPict="0" r:id="rId11">
            <anchor moveWithCells="1">
              <from>
                <xdr:col>2</xdr:col>
                <xdr:colOff>0</xdr:colOff>
                <xdr:row>87</xdr:row>
                <xdr:rowOff>0</xdr:rowOff>
              </from>
              <to>
                <xdr:col>3</xdr:col>
                <xdr:colOff>428625</xdr:colOff>
                <xdr:row>88</xdr:row>
                <xdr:rowOff>9525</xdr:rowOff>
              </to>
            </anchor>
          </objectPr>
        </oleObject>
      </mc:Choice>
      <mc:Fallback>
        <oleObject progId="Equation.2" shapeId="10244" r:id="rId10"/>
      </mc:Fallback>
    </mc:AlternateContent>
    <mc:AlternateContent xmlns:mc="http://schemas.openxmlformats.org/markup-compatibility/2006">
      <mc:Choice Requires="x14">
        <oleObject progId="Equation.2" shapeId="10245" r:id="rId12">
          <objectPr defaultSize="0" autoLine="0" autoPict="0" r:id="rId13">
            <anchor moveWithCells="1">
              <from>
                <xdr:col>2</xdr:col>
                <xdr:colOff>0</xdr:colOff>
                <xdr:row>68</xdr:row>
                <xdr:rowOff>66675</xdr:rowOff>
              </from>
              <to>
                <xdr:col>2</xdr:col>
                <xdr:colOff>600075</xdr:colOff>
                <xdr:row>70</xdr:row>
                <xdr:rowOff>66675</xdr:rowOff>
              </to>
            </anchor>
          </objectPr>
        </oleObject>
      </mc:Choice>
      <mc:Fallback>
        <oleObject progId="Equation.2" shapeId="10245" r:id="rId12"/>
      </mc:Fallback>
    </mc:AlternateContent>
    <mc:AlternateContent xmlns:mc="http://schemas.openxmlformats.org/markup-compatibility/2006">
      <mc:Choice Requires="x14">
        <oleObject progId="Equation.2" shapeId="10246" r:id="rId14">
          <objectPr defaultSize="0" autoLine="0" autoPict="0" r:id="rId15">
            <anchor moveWithCells="1">
              <from>
                <xdr:col>2</xdr:col>
                <xdr:colOff>0</xdr:colOff>
                <xdr:row>124</xdr:row>
                <xdr:rowOff>0</xdr:rowOff>
              </from>
              <to>
                <xdr:col>4</xdr:col>
                <xdr:colOff>171450</xdr:colOff>
                <xdr:row>125</xdr:row>
                <xdr:rowOff>28575</xdr:rowOff>
              </to>
            </anchor>
          </objectPr>
        </oleObject>
      </mc:Choice>
      <mc:Fallback>
        <oleObject progId="Equation.2" shapeId="10246" r:id="rId14"/>
      </mc:Fallback>
    </mc:AlternateContent>
    <mc:AlternateContent xmlns:mc="http://schemas.openxmlformats.org/markup-compatibility/2006">
      <mc:Choice Requires="x14">
        <oleObject progId="Equation.2" shapeId="10247" r:id="rId16">
          <objectPr defaultSize="0" autoLine="0" autoPict="0" r:id="rId17">
            <anchor moveWithCells="1">
              <from>
                <xdr:col>3</xdr:col>
                <xdr:colOff>38100</xdr:colOff>
                <xdr:row>130</xdr:row>
                <xdr:rowOff>0</xdr:rowOff>
              </from>
              <to>
                <xdr:col>4</xdr:col>
                <xdr:colOff>228600</xdr:colOff>
                <xdr:row>131</xdr:row>
                <xdr:rowOff>57150</xdr:rowOff>
              </to>
            </anchor>
          </objectPr>
        </oleObject>
      </mc:Choice>
      <mc:Fallback>
        <oleObject progId="Equation.2" shapeId="10247" r:id="rId16"/>
      </mc:Fallback>
    </mc:AlternateContent>
    <mc:AlternateContent xmlns:mc="http://schemas.openxmlformats.org/markup-compatibility/2006">
      <mc:Choice Requires="x14">
        <oleObject progId="Equation.2" shapeId="10248" r:id="rId18">
          <objectPr defaultSize="0" autoLine="0" autoPict="0" r:id="rId19">
            <anchor moveWithCells="1">
              <from>
                <xdr:col>3</xdr:col>
                <xdr:colOff>28575</xdr:colOff>
                <xdr:row>132</xdr:row>
                <xdr:rowOff>0</xdr:rowOff>
              </from>
              <to>
                <xdr:col>5</xdr:col>
                <xdr:colOff>1771650</xdr:colOff>
                <xdr:row>133</xdr:row>
                <xdr:rowOff>57150</xdr:rowOff>
              </to>
            </anchor>
          </objectPr>
        </oleObject>
      </mc:Choice>
      <mc:Fallback>
        <oleObject progId="Equation.2" shapeId="10248" r:id="rId18"/>
      </mc:Fallback>
    </mc:AlternateContent>
    <mc:AlternateContent xmlns:mc="http://schemas.openxmlformats.org/markup-compatibility/2006">
      <mc:Choice Requires="x14">
        <oleObject progId="Equation.2" shapeId="10249" r:id="rId20">
          <objectPr defaultSize="0" autoLine="0" autoPict="0" r:id="rId21">
            <anchor moveWithCells="1">
              <from>
                <xdr:col>3</xdr:col>
                <xdr:colOff>19050</xdr:colOff>
                <xdr:row>135</xdr:row>
                <xdr:rowOff>0</xdr:rowOff>
              </from>
              <to>
                <xdr:col>5</xdr:col>
                <xdr:colOff>885825</xdr:colOff>
                <xdr:row>136</xdr:row>
                <xdr:rowOff>95250</xdr:rowOff>
              </to>
            </anchor>
          </objectPr>
        </oleObject>
      </mc:Choice>
      <mc:Fallback>
        <oleObject progId="Equation.2" shapeId="10249" r:id="rId20"/>
      </mc:Fallback>
    </mc:AlternateContent>
    <mc:AlternateContent xmlns:mc="http://schemas.openxmlformats.org/markup-compatibility/2006">
      <mc:Choice Requires="x14">
        <oleObject progId="Equation.2" shapeId="10250" r:id="rId22">
          <objectPr defaultSize="0" autoLine="0" autoPict="0" r:id="rId23">
            <anchor moveWithCells="1">
              <from>
                <xdr:col>3</xdr:col>
                <xdr:colOff>28575</xdr:colOff>
                <xdr:row>183</xdr:row>
                <xdr:rowOff>28575</xdr:rowOff>
              </from>
              <to>
                <xdr:col>4</xdr:col>
                <xdr:colOff>447675</xdr:colOff>
                <xdr:row>184</xdr:row>
                <xdr:rowOff>171450</xdr:rowOff>
              </to>
            </anchor>
          </objectPr>
        </oleObject>
      </mc:Choice>
      <mc:Fallback>
        <oleObject progId="Equation.2" shapeId="10250" r:id="rId22"/>
      </mc:Fallback>
    </mc:AlternateContent>
    <mc:AlternateContent xmlns:mc="http://schemas.openxmlformats.org/markup-compatibility/2006">
      <mc:Choice Requires="x14">
        <oleObject progId="Equation.2" shapeId="10251" r:id="rId24">
          <objectPr defaultSize="0" autoLine="0" autoPict="0" r:id="rId25">
            <anchor moveWithCells="1">
              <from>
                <xdr:col>3</xdr:col>
                <xdr:colOff>28575</xdr:colOff>
                <xdr:row>188</xdr:row>
                <xdr:rowOff>0</xdr:rowOff>
              </from>
              <to>
                <xdr:col>4</xdr:col>
                <xdr:colOff>447675</xdr:colOff>
                <xdr:row>189</xdr:row>
                <xdr:rowOff>9525</xdr:rowOff>
              </to>
            </anchor>
          </objectPr>
        </oleObject>
      </mc:Choice>
      <mc:Fallback>
        <oleObject progId="Equation.2" shapeId="10251" r:id="rId24"/>
      </mc:Fallback>
    </mc:AlternateContent>
    <mc:AlternateContent xmlns:mc="http://schemas.openxmlformats.org/markup-compatibility/2006">
      <mc:Choice Requires="x14">
        <oleObject progId="Equation.2" shapeId="10252" r:id="rId26">
          <objectPr defaultSize="0" autoLine="0" autoPict="0" r:id="rId27">
            <anchor moveWithCells="1">
              <from>
                <xdr:col>7</xdr:col>
                <xdr:colOff>619125</xdr:colOff>
                <xdr:row>250</xdr:row>
                <xdr:rowOff>180975</xdr:rowOff>
              </from>
              <to>
                <xdr:col>9</xdr:col>
                <xdr:colOff>276225</xdr:colOff>
                <xdr:row>252</xdr:row>
                <xdr:rowOff>19050</xdr:rowOff>
              </to>
            </anchor>
          </objectPr>
        </oleObject>
      </mc:Choice>
      <mc:Fallback>
        <oleObject progId="Equation.2" shapeId="10252" r:id="rId26"/>
      </mc:Fallback>
    </mc:AlternateContent>
    <mc:AlternateContent xmlns:mc="http://schemas.openxmlformats.org/markup-compatibility/2006">
      <mc:Choice Requires="x14">
        <oleObject progId="Equation.2" shapeId="10253" r:id="rId28">
          <objectPr defaultSize="0" autoLine="0" autoPict="0" r:id="rId29">
            <anchor moveWithCells="1">
              <from>
                <xdr:col>3</xdr:col>
                <xdr:colOff>0</xdr:colOff>
                <xdr:row>251</xdr:row>
                <xdr:rowOff>0</xdr:rowOff>
              </from>
              <to>
                <xdr:col>5</xdr:col>
                <xdr:colOff>933450</xdr:colOff>
                <xdr:row>252</xdr:row>
                <xdr:rowOff>38100</xdr:rowOff>
              </to>
            </anchor>
          </objectPr>
        </oleObject>
      </mc:Choice>
      <mc:Fallback>
        <oleObject progId="Equation.2" shapeId="10253" r:id="rId28"/>
      </mc:Fallback>
    </mc:AlternateContent>
    <mc:AlternateContent xmlns:mc="http://schemas.openxmlformats.org/markup-compatibility/2006">
      <mc:Choice Requires="x14">
        <oleObject progId="Equation.2" shapeId="10254" r:id="rId30">
          <objectPr defaultSize="0" autoLine="0" autoPict="0" r:id="rId31">
            <anchor moveWithCells="1">
              <from>
                <xdr:col>2</xdr:col>
                <xdr:colOff>628650</xdr:colOff>
                <xdr:row>222</xdr:row>
                <xdr:rowOff>9525</xdr:rowOff>
              </from>
              <to>
                <xdr:col>5</xdr:col>
                <xdr:colOff>257175</xdr:colOff>
                <xdr:row>223</xdr:row>
                <xdr:rowOff>57150</xdr:rowOff>
              </to>
            </anchor>
          </objectPr>
        </oleObject>
      </mc:Choice>
      <mc:Fallback>
        <oleObject progId="Equation.2" shapeId="10254" r:id="rId30"/>
      </mc:Fallback>
    </mc:AlternateContent>
    <mc:AlternateContent xmlns:mc="http://schemas.openxmlformats.org/markup-compatibility/2006">
      <mc:Choice Requires="x14">
        <oleObject progId="Equation.2" shapeId="10255" r:id="rId32">
          <objectPr defaultSize="0" autoLine="0" autoPict="0" r:id="rId33">
            <anchor moveWithCells="1">
              <from>
                <xdr:col>2</xdr:col>
                <xdr:colOff>495300</xdr:colOff>
                <xdr:row>275</xdr:row>
                <xdr:rowOff>0</xdr:rowOff>
              </from>
              <to>
                <xdr:col>4</xdr:col>
                <xdr:colOff>47625</xdr:colOff>
                <xdr:row>276</xdr:row>
                <xdr:rowOff>19050</xdr:rowOff>
              </to>
            </anchor>
          </objectPr>
        </oleObject>
      </mc:Choice>
      <mc:Fallback>
        <oleObject progId="Equation.2" shapeId="10255" r:id="rId32"/>
      </mc:Fallback>
    </mc:AlternateContent>
    <mc:AlternateContent xmlns:mc="http://schemas.openxmlformats.org/markup-compatibility/2006">
      <mc:Choice Requires="x14">
        <oleObject progId="Equation.2" shapeId="10256" r:id="rId34">
          <objectPr defaultSize="0" autoLine="0" autoPict="0" r:id="rId35">
            <anchor moveWithCells="1">
              <from>
                <xdr:col>2</xdr:col>
                <xdr:colOff>0</xdr:colOff>
                <xdr:row>95</xdr:row>
                <xdr:rowOff>0</xdr:rowOff>
              </from>
              <to>
                <xdr:col>3</xdr:col>
                <xdr:colOff>342900</xdr:colOff>
                <xdr:row>96</xdr:row>
                <xdr:rowOff>9525</xdr:rowOff>
              </to>
            </anchor>
          </objectPr>
        </oleObject>
      </mc:Choice>
      <mc:Fallback>
        <oleObject progId="Equation.2" shapeId="10256" r:id="rId34"/>
      </mc:Fallback>
    </mc:AlternateContent>
    <mc:AlternateContent xmlns:mc="http://schemas.openxmlformats.org/markup-compatibility/2006">
      <mc:Choice Requires="x14">
        <oleObject progId="Equation.2" shapeId="10257" r:id="rId36">
          <objectPr defaultSize="0" autoLine="0" autoPict="0" r:id="rId37">
            <anchor moveWithCells="1">
              <from>
                <xdr:col>2</xdr:col>
                <xdr:colOff>0</xdr:colOff>
                <xdr:row>98</xdr:row>
                <xdr:rowOff>142875</xdr:rowOff>
              </from>
              <to>
                <xdr:col>5</xdr:col>
                <xdr:colOff>133350</xdr:colOff>
                <xdr:row>100</xdr:row>
                <xdr:rowOff>9525</xdr:rowOff>
              </to>
            </anchor>
          </objectPr>
        </oleObject>
      </mc:Choice>
      <mc:Fallback>
        <oleObject progId="Equation.2" shapeId="10257" r:id="rId36"/>
      </mc:Fallback>
    </mc:AlternateContent>
    <mc:AlternateContent xmlns:mc="http://schemas.openxmlformats.org/markup-compatibility/2006">
      <mc:Choice Requires="x14">
        <oleObject progId="Equation.2" shapeId="10258" r:id="rId38">
          <objectPr defaultSize="0" autoLine="0" autoPict="0" r:id="rId39">
            <anchor moveWithCells="1">
              <from>
                <xdr:col>3</xdr:col>
                <xdr:colOff>28575</xdr:colOff>
                <xdr:row>127</xdr:row>
                <xdr:rowOff>9525</xdr:rowOff>
              </from>
              <to>
                <xdr:col>5</xdr:col>
                <xdr:colOff>762000</xdr:colOff>
                <xdr:row>128</xdr:row>
                <xdr:rowOff>66675</xdr:rowOff>
              </to>
            </anchor>
          </objectPr>
        </oleObject>
      </mc:Choice>
      <mc:Fallback>
        <oleObject progId="Equation.2" shapeId="10258" r:id="rId38"/>
      </mc:Fallback>
    </mc:AlternateContent>
    <mc:AlternateContent xmlns:mc="http://schemas.openxmlformats.org/markup-compatibility/2006">
      <mc:Choice Requires="x14">
        <oleObject progId="Equation.2" shapeId="10259" r:id="rId40">
          <objectPr defaultSize="0" autoLine="0" autoPict="0" r:id="rId41">
            <anchor moveWithCells="1">
              <from>
                <xdr:col>2</xdr:col>
                <xdr:colOff>38100</xdr:colOff>
                <xdr:row>103</xdr:row>
                <xdr:rowOff>19050</xdr:rowOff>
              </from>
              <to>
                <xdr:col>3</xdr:col>
                <xdr:colOff>142875</xdr:colOff>
                <xdr:row>104</xdr:row>
                <xdr:rowOff>38100</xdr:rowOff>
              </to>
            </anchor>
          </objectPr>
        </oleObject>
      </mc:Choice>
      <mc:Fallback>
        <oleObject progId="Equation.2" shapeId="10259" r:id="rId40"/>
      </mc:Fallback>
    </mc:AlternateContent>
    <mc:AlternateContent xmlns:mc="http://schemas.openxmlformats.org/markup-compatibility/2006">
      <mc:Choice Requires="x14">
        <oleObject progId="Equation.2" shapeId="10260" r:id="rId42">
          <objectPr defaultSize="0" autoLine="0" autoPict="0" r:id="rId43">
            <anchor moveWithCells="1">
              <from>
                <xdr:col>3</xdr:col>
                <xdr:colOff>28575</xdr:colOff>
                <xdr:row>186</xdr:row>
                <xdr:rowOff>0</xdr:rowOff>
              </from>
              <to>
                <xdr:col>4</xdr:col>
                <xdr:colOff>276225</xdr:colOff>
                <xdr:row>187</xdr:row>
                <xdr:rowOff>19050</xdr:rowOff>
              </to>
            </anchor>
          </objectPr>
        </oleObject>
      </mc:Choice>
      <mc:Fallback>
        <oleObject progId="Equation.2" shapeId="10260" r:id="rId42"/>
      </mc:Fallback>
    </mc:AlternateContent>
    <mc:AlternateContent xmlns:mc="http://schemas.openxmlformats.org/markup-compatibility/2006">
      <mc:Choice Requires="x14">
        <oleObject progId="Equation.2" shapeId="10261" r:id="rId44">
          <objectPr defaultSize="0" autoLine="0" autoPict="0" r:id="rId45">
            <anchor moveWithCells="1">
              <from>
                <xdr:col>2</xdr:col>
                <xdr:colOff>504825</xdr:colOff>
                <xdr:row>118</xdr:row>
                <xdr:rowOff>9525</xdr:rowOff>
              </from>
              <to>
                <xdr:col>5</xdr:col>
                <xdr:colOff>257175</xdr:colOff>
                <xdr:row>119</xdr:row>
                <xdr:rowOff>9525</xdr:rowOff>
              </to>
            </anchor>
          </objectPr>
        </oleObject>
      </mc:Choice>
      <mc:Fallback>
        <oleObject progId="Equation.2" shapeId="10261" r:id="rId44"/>
      </mc:Fallback>
    </mc:AlternateContent>
    <mc:AlternateContent xmlns:mc="http://schemas.openxmlformats.org/markup-compatibility/2006">
      <mc:Choice Requires="x14">
        <oleObject progId="Documento" shapeId="10262" r:id="rId46">
          <objectPr defaultSize="0" autoLine="0" autoPict="0" r:id="rId47">
            <anchor moveWithCells="1">
              <from>
                <xdr:col>2</xdr:col>
                <xdr:colOff>0</xdr:colOff>
                <xdr:row>27</xdr:row>
                <xdr:rowOff>28575</xdr:rowOff>
              </from>
              <to>
                <xdr:col>10</xdr:col>
                <xdr:colOff>323850</xdr:colOff>
                <xdr:row>63</xdr:row>
                <xdr:rowOff>28575</xdr:rowOff>
              </to>
            </anchor>
          </objectPr>
        </oleObject>
      </mc:Choice>
      <mc:Fallback>
        <oleObject progId="Documento" shapeId="10262" r:id="rId46"/>
      </mc:Fallback>
    </mc:AlternateContent>
    <mc:AlternateContent xmlns:mc="http://schemas.openxmlformats.org/markup-compatibility/2006">
      <mc:Choice Requires="x14">
        <oleObject progId="Equation.2" shapeId="10263" r:id="rId48">
          <objectPr defaultSize="0" autoLine="0" autoPict="0" r:id="rId49">
            <anchor moveWithCells="1">
              <from>
                <xdr:col>2</xdr:col>
                <xdr:colOff>266700</xdr:colOff>
                <xdr:row>106</xdr:row>
                <xdr:rowOff>152400</xdr:rowOff>
              </from>
              <to>
                <xdr:col>3</xdr:col>
                <xdr:colOff>400050</xdr:colOff>
                <xdr:row>108</xdr:row>
                <xdr:rowOff>104775</xdr:rowOff>
              </to>
            </anchor>
          </objectPr>
        </oleObject>
      </mc:Choice>
      <mc:Fallback>
        <oleObject progId="Equation.2" shapeId="10263" r:id="rId48"/>
      </mc:Fallback>
    </mc:AlternateContent>
    <mc:AlternateContent xmlns:mc="http://schemas.openxmlformats.org/markup-compatibility/2006">
      <mc:Choice Requires="x14">
        <oleObject progId="Equation.2" shapeId="10264" r:id="rId50">
          <objectPr defaultSize="0" autoLine="0" autoPict="0" r:id="rId51">
            <anchor moveWithCells="1">
              <from>
                <xdr:col>3</xdr:col>
                <xdr:colOff>57150</xdr:colOff>
                <xdr:row>110</xdr:row>
                <xdr:rowOff>9525</xdr:rowOff>
              </from>
              <to>
                <xdr:col>5</xdr:col>
                <xdr:colOff>133350</xdr:colOff>
                <xdr:row>111</xdr:row>
                <xdr:rowOff>47625</xdr:rowOff>
              </to>
            </anchor>
          </objectPr>
        </oleObject>
      </mc:Choice>
      <mc:Fallback>
        <oleObject progId="Equation.2" shapeId="10264" r:id="rId50"/>
      </mc:Fallback>
    </mc:AlternateContent>
    <mc:AlternateContent xmlns:mc="http://schemas.openxmlformats.org/markup-compatibility/2006">
      <mc:Choice Requires="x14">
        <oleObject progId="Equation.2" shapeId="10265" r:id="rId52">
          <objectPr defaultSize="0" autoLine="0" autoPict="0" r:id="rId53">
            <anchor moveWithCells="1">
              <from>
                <xdr:col>1</xdr:col>
                <xdr:colOff>66675</xdr:colOff>
                <xdr:row>181</xdr:row>
                <xdr:rowOff>38100</xdr:rowOff>
              </from>
              <to>
                <xdr:col>5</xdr:col>
                <xdr:colOff>28575</xdr:colOff>
                <xdr:row>182</xdr:row>
                <xdr:rowOff>266700</xdr:rowOff>
              </to>
            </anchor>
          </objectPr>
        </oleObject>
      </mc:Choice>
      <mc:Fallback>
        <oleObject progId="Equation.2" shapeId="10265" r:id="rId52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44"/>
  <sheetViews>
    <sheetView workbookViewId="0">
      <selection activeCell="I17" sqref="I17"/>
    </sheetView>
  </sheetViews>
  <sheetFormatPr defaultColWidth="11.42578125" defaultRowHeight="15" x14ac:dyDescent="0.25"/>
  <cols>
    <col min="1" max="1" width="12.7109375" style="9" customWidth="1"/>
    <col min="2" max="2" width="13.140625" style="9" customWidth="1"/>
    <col min="3" max="3" width="11.85546875" style="9" customWidth="1"/>
    <col min="4" max="4" width="14.140625" style="9" customWidth="1"/>
    <col min="5" max="5" width="12.85546875" style="9" customWidth="1"/>
    <col min="6" max="6" width="13.140625" style="9" customWidth="1"/>
    <col min="7" max="7" width="13" style="9" customWidth="1"/>
    <col min="8" max="8" width="14.85546875" style="9" customWidth="1"/>
    <col min="9" max="9" width="14.140625" style="9" customWidth="1"/>
    <col min="10" max="10" width="15.7109375" style="9" customWidth="1"/>
    <col min="11" max="11" width="11.85546875" style="9" customWidth="1"/>
    <col min="12" max="256" width="11.42578125" style="201"/>
    <col min="257" max="257" width="12.7109375" style="201" customWidth="1"/>
    <col min="258" max="258" width="13.140625" style="201" customWidth="1"/>
    <col min="259" max="259" width="11.85546875" style="201" customWidth="1"/>
    <col min="260" max="260" width="14.140625" style="201" customWidth="1"/>
    <col min="261" max="261" width="12.85546875" style="201" customWidth="1"/>
    <col min="262" max="262" width="13.140625" style="201" customWidth="1"/>
    <col min="263" max="263" width="13" style="201" customWidth="1"/>
    <col min="264" max="264" width="14.85546875" style="201" customWidth="1"/>
    <col min="265" max="265" width="14.140625" style="201" customWidth="1"/>
    <col min="266" max="266" width="15.7109375" style="201" customWidth="1"/>
    <col min="267" max="267" width="11.85546875" style="201" customWidth="1"/>
    <col min="268" max="512" width="11.42578125" style="201"/>
    <col min="513" max="513" width="12.7109375" style="201" customWidth="1"/>
    <col min="514" max="514" width="13.140625" style="201" customWidth="1"/>
    <col min="515" max="515" width="11.85546875" style="201" customWidth="1"/>
    <col min="516" max="516" width="14.140625" style="201" customWidth="1"/>
    <col min="517" max="517" width="12.85546875" style="201" customWidth="1"/>
    <col min="518" max="518" width="13.140625" style="201" customWidth="1"/>
    <col min="519" max="519" width="13" style="201" customWidth="1"/>
    <col min="520" max="520" width="14.85546875" style="201" customWidth="1"/>
    <col min="521" max="521" width="14.140625" style="201" customWidth="1"/>
    <col min="522" max="522" width="15.7109375" style="201" customWidth="1"/>
    <col min="523" max="523" width="11.85546875" style="201" customWidth="1"/>
    <col min="524" max="768" width="11.42578125" style="201"/>
    <col min="769" max="769" width="12.7109375" style="201" customWidth="1"/>
    <col min="770" max="770" width="13.140625" style="201" customWidth="1"/>
    <col min="771" max="771" width="11.85546875" style="201" customWidth="1"/>
    <col min="772" max="772" width="14.140625" style="201" customWidth="1"/>
    <col min="773" max="773" width="12.85546875" style="201" customWidth="1"/>
    <col min="774" max="774" width="13.140625" style="201" customWidth="1"/>
    <col min="775" max="775" width="13" style="201" customWidth="1"/>
    <col min="776" max="776" width="14.85546875" style="201" customWidth="1"/>
    <col min="777" max="777" width="14.140625" style="201" customWidth="1"/>
    <col min="778" max="778" width="15.7109375" style="201" customWidth="1"/>
    <col min="779" max="779" width="11.85546875" style="201" customWidth="1"/>
    <col min="780" max="1024" width="11.42578125" style="201"/>
    <col min="1025" max="1025" width="12.7109375" style="201" customWidth="1"/>
    <col min="1026" max="1026" width="13.140625" style="201" customWidth="1"/>
    <col min="1027" max="1027" width="11.85546875" style="201" customWidth="1"/>
    <col min="1028" max="1028" width="14.140625" style="201" customWidth="1"/>
    <col min="1029" max="1029" width="12.85546875" style="201" customWidth="1"/>
    <col min="1030" max="1030" width="13.140625" style="201" customWidth="1"/>
    <col min="1031" max="1031" width="13" style="201" customWidth="1"/>
    <col min="1032" max="1032" width="14.85546875" style="201" customWidth="1"/>
    <col min="1033" max="1033" width="14.140625" style="201" customWidth="1"/>
    <col min="1034" max="1034" width="15.7109375" style="201" customWidth="1"/>
    <col min="1035" max="1035" width="11.85546875" style="201" customWidth="1"/>
    <col min="1036" max="1280" width="11.42578125" style="201"/>
    <col min="1281" max="1281" width="12.7109375" style="201" customWidth="1"/>
    <col min="1282" max="1282" width="13.140625" style="201" customWidth="1"/>
    <col min="1283" max="1283" width="11.85546875" style="201" customWidth="1"/>
    <col min="1284" max="1284" width="14.140625" style="201" customWidth="1"/>
    <col min="1285" max="1285" width="12.85546875" style="201" customWidth="1"/>
    <col min="1286" max="1286" width="13.140625" style="201" customWidth="1"/>
    <col min="1287" max="1287" width="13" style="201" customWidth="1"/>
    <col min="1288" max="1288" width="14.85546875" style="201" customWidth="1"/>
    <col min="1289" max="1289" width="14.140625" style="201" customWidth="1"/>
    <col min="1290" max="1290" width="15.7109375" style="201" customWidth="1"/>
    <col min="1291" max="1291" width="11.85546875" style="201" customWidth="1"/>
    <col min="1292" max="1536" width="11.42578125" style="201"/>
    <col min="1537" max="1537" width="12.7109375" style="201" customWidth="1"/>
    <col min="1538" max="1538" width="13.140625" style="201" customWidth="1"/>
    <col min="1539" max="1539" width="11.85546875" style="201" customWidth="1"/>
    <col min="1540" max="1540" width="14.140625" style="201" customWidth="1"/>
    <col min="1541" max="1541" width="12.85546875" style="201" customWidth="1"/>
    <col min="1542" max="1542" width="13.140625" style="201" customWidth="1"/>
    <col min="1543" max="1543" width="13" style="201" customWidth="1"/>
    <col min="1544" max="1544" width="14.85546875" style="201" customWidth="1"/>
    <col min="1545" max="1545" width="14.140625" style="201" customWidth="1"/>
    <col min="1546" max="1546" width="15.7109375" style="201" customWidth="1"/>
    <col min="1547" max="1547" width="11.85546875" style="201" customWidth="1"/>
    <col min="1548" max="1792" width="11.42578125" style="201"/>
    <col min="1793" max="1793" width="12.7109375" style="201" customWidth="1"/>
    <col min="1794" max="1794" width="13.140625" style="201" customWidth="1"/>
    <col min="1795" max="1795" width="11.85546875" style="201" customWidth="1"/>
    <col min="1796" max="1796" width="14.140625" style="201" customWidth="1"/>
    <col min="1797" max="1797" width="12.85546875" style="201" customWidth="1"/>
    <col min="1798" max="1798" width="13.140625" style="201" customWidth="1"/>
    <col min="1799" max="1799" width="13" style="201" customWidth="1"/>
    <col min="1800" max="1800" width="14.85546875" style="201" customWidth="1"/>
    <col min="1801" max="1801" width="14.140625" style="201" customWidth="1"/>
    <col min="1802" max="1802" width="15.7109375" style="201" customWidth="1"/>
    <col min="1803" max="1803" width="11.85546875" style="201" customWidth="1"/>
    <col min="1804" max="2048" width="11.42578125" style="201"/>
    <col min="2049" max="2049" width="12.7109375" style="201" customWidth="1"/>
    <col min="2050" max="2050" width="13.140625" style="201" customWidth="1"/>
    <col min="2051" max="2051" width="11.85546875" style="201" customWidth="1"/>
    <col min="2052" max="2052" width="14.140625" style="201" customWidth="1"/>
    <col min="2053" max="2053" width="12.85546875" style="201" customWidth="1"/>
    <col min="2054" max="2054" width="13.140625" style="201" customWidth="1"/>
    <col min="2055" max="2055" width="13" style="201" customWidth="1"/>
    <col min="2056" max="2056" width="14.85546875" style="201" customWidth="1"/>
    <col min="2057" max="2057" width="14.140625" style="201" customWidth="1"/>
    <col min="2058" max="2058" width="15.7109375" style="201" customWidth="1"/>
    <col min="2059" max="2059" width="11.85546875" style="201" customWidth="1"/>
    <col min="2060" max="2304" width="11.42578125" style="201"/>
    <col min="2305" max="2305" width="12.7109375" style="201" customWidth="1"/>
    <col min="2306" max="2306" width="13.140625" style="201" customWidth="1"/>
    <col min="2307" max="2307" width="11.85546875" style="201" customWidth="1"/>
    <col min="2308" max="2308" width="14.140625" style="201" customWidth="1"/>
    <col min="2309" max="2309" width="12.85546875" style="201" customWidth="1"/>
    <col min="2310" max="2310" width="13.140625" style="201" customWidth="1"/>
    <col min="2311" max="2311" width="13" style="201" customWidth="1"/>
    <col min="2312" max="2312" width="14.85546875" style="201" customWidth="1"/>
    <col min="2313" max="2313" width="14.140625" style="201" customWidth="1"/>
    <col min="2314" max="2314" width="15.7109375" style="201" customWidth="1"/>
    <col min="2315" max="2315" width="11.85546875" style="201" customWidth="1"/>
    <col min="2316" max="2560" width="11.42578125" style="201"/>
    <col min="2561" max="2561" width="12.7109375" style="201" customWidth="1"/>
    <col min="2562" max="2562" width="13.140625" style="201" customWidth="1"/>
    <col min="2563" max="2563" width="11.85546875" style="201" customWidth="1"/>
    <col min="2564" max="2564" width="14.140625" style="201" customWidth="1"/>
    <col min="2565" max="2565" width="12.85546875" style="201" customWidth="1"/>
    <col min="2566" max="2566" width="13.140625" style="201" customWidth="1"/>
    <col min="2567" max="2567" width="13" style="201" customWidth="1"/>
    <col min="2568" max="2568" width="14.85546875" style="201" customWidth="1"/>
    <col min="2569" max="2569" width="14.140625" style="201" customWidth="1"/>
    <col min="2570" max="2570" width="15.7109375" style="201" customWidth="1"/>
    <col min="2571" max="2571" width="11.85546875" style="201" customWidth="1"/>
    <col min="2572" max="2816" width="11.42578125" style="201"/>
    <col min="2817" max="2817" width="12.7109375" style="201" customWidth="1"/>
    <col min="2818" max="2818" width="13.140625" style="201" customWidth="1"/>
    <col min="2819" max="2819" width="11.85546875" style="201" customWidth="1"/>
    <col min="2820" max="2820" width="14.140625" style="201" customWidth="1"/>
    <col min="2821" max="2821" width="12.85546875" style="201" customWidth="1"/>
    <col min="2822" max="2822" width="13.140625" style="201" customWidth="1"/>
    <col min="2823" max="2823" width="13" style="201" customWidth="1"/>
    <col min="2824" max="2824" width="14.85546875" style="201" customWidth="1"/>
    <col min="2825" max="2825" width="14.140625" style="201" customWidth="1"/>
    <col min="2826" max="2826" width="15.7109375" style="201" customWidth="1"/>
    <col min="2827" max="2827" width="11.85546875" style="201" customWidth="1"/>
    <col min="2828" max="3072" width="11.42578125" style="201"/>
    <col min="3073" max="3073" width="12.7109375" style="201" customWidth="1"/>
    <col min="3074" max="3074" width="13.140625" style="201" customWidth="1"/>
    <col min="3075" max="3075" width="11.85546875" style="201" customWidth="1"/>
    <col min="3076" max="3076" width="14.140625" style="201" customWidth="1"/>
    <col min="3077" max="3077" width="12.85546875" style="201" customWidth="1"/>
    <col min="3078" max="3078" width="13.140625" style="201" customWidth="1"/>
    <col min="3079" max="3079" width="13" style="201" customWidth="1"/>
    <col min="3080" max="3080" width="14.85546875" style="201" customWidth="1"/>
    <col min="3081" max="3081" width="14.140625" style="201" customWidth="1"/>
    <col min="3082" max="3082" width="15.7109375" style="201" customWidth="1"/>
    <col min="3083" max="3083" width="11.85546875" style="201" customWidth="1"/>
    <col min="3084" max="3328" width="11.42578125" style="201"/>
    <col min="3329" max="3329" width="12.7109375" style="201" customWidth="1"/>
    <col min="3330" max="3330" width="13.140625" style="201" customWidth="1"/>
    <col min="3331" max="3331" width="11.85546875" style="201" customWidth="1"/>
    <col min="3332" max="3332" width="14.140625" style="201" customWidth="1"/>
    <col min="3333" max="3333" width="12.85546875" style="201" customWidth="1"/>
    <col min="3334" max="3334" width="13.140625" style="201" customWidth="1"/>
    <col min="3335" max="3335" width="13" style="201" customWidth="1"/>
    <col min="3336" max="3336" width="14.85546875" style="201" customWidth="1"/>
    <col min="3337" max="3337" width="14.140625" style="201" customWidth="1"/>
    <col min="3338" max="3338" width="15.7109375" style="201" customWidth="1"/>
    <col min="3339" max="3339" width="11.85546875" style="201" customWidth="1"/>
    <col min="3340" max="3584" width="11.42578125" style="201"/>
    <col min="3585" max="3585" width="12.7109375" style="201" customWidth="1"/>
    <col min="3586" max="3586" width="13.140625" style="201" customWidth="1"/>
    <col min="3587" max="3587" width="11.85546875" style="201" customWidth="1"/>
    <col min="3588" max="3588" width="14.140625" style="201" customWidth="1"/>
    <col min="3589" max="3589" width="12.85546875" style="201" customWidth="1"/>
    <col min="3590" max="3590" width="13.140625" style="201" customWidth="1"/>
    <col min="3591" max="3591" width="13" style="201" customWidth="1"/>
    <col min="3592" max="3592" width="14.85546875" style="201" customWidth="1"/>
    <col min="3593" max="3593" width="14.140625" style="201" customWidth="1"/>
    <col min="3594" max="3594" width="15.7109375" style="201" customWidth="1"/>
    <col min="3595" max="3595" width="11.85546875" style="201" customWidth="1"/>
    <col min="3596" max="3840" width="11.42578125" style="201"/>
    <col min="3841" max="3841" width="12.7109375" style="201" customWidth="1"/>
    <col min="3842" max="3842" width="13.140625" style="201" customWidth="1"/>
    <col min="3843" max="3843" width="11.85546875" style="201" customWidth="1"/>
    <col min="3844" max="3844" width="14.140625" style="201" customWidth="1"/>
    <col min="3845" max="3845" width="12.85546875" style="201" customWidth="1"/>
    <col min="3846" max="3846" width="13.140625" style="201" customWidth="1"/>
    <col min="3847" max="3847" width="13" style="201" customWidth="1"/>
    <col min="3848" max="3848" width="14.85546875" style="201" customWidth="1"/>
    <col min="3849" max="3849" width="14.140625" style="201" customWidth="1"/>
    <col min="3850" max="3850" width="15.7109375" style="201" customWidth="1"/>
    <col min="3851" max="3851" width="11.85546875" style="201" customWidth="1"/>
    <col min="3852" max="4096" width="11.42578125" style="201"/>
    <col min="4097" max="4097" width="12.7109375" style="201" customWidth="1"/>
    <col min="4098" max="4098" width="13.140625" style="201" customWidth="1"/>
    <col min="4099" max="4099" width="11.85546875" style="201" customWidth="1"/>
    <col min="4100" max="4100" width="14.140625" style="201" customWidth="1"/>
    <col min="4101" max="4101" width="12.85546875" style="201" customWidth="1"/>
    <col min="4102" max="4102" width="13.140625" style="201" customWidth="1"/>
    <col min="4103" max="4103" width="13" style="201" customWidth="1"/>
    <col min="4104" max="4104" width="14.85546875" style="201" customWidth="1"/>
    <col min="4105" max="4105" width="14.140625" style="201" customWidth="1"/>
    <col min="4106" max="4106" width="15.7109375" style="201" customWidth="1"/>
    <col min="4107" max="4107" width="11.85546875" style="201" customWidth="1"/>
    <col min="4108" max="4352" width="11.42578125" style="201"/>
    <col min="4353" max="4353" width="12.7109375" style="201" customWidth="1"/>
    <col min="4354" max="4354" width="13.140625" style="201" customWidth="1"/>
    <col min="4355" max="4355" width="11.85546875" style="201" customWidth="1"/>
    <col min="4356" max="4356" width="14.140625" style="201" customWidth="1"/>
    <col min="4357" max="4357" width="12.85546875" style="201" customWidth="1"/>
    <col min="4358" max="4358" width="13.140625" style="201" customWidth="1"/>
    <col min="4359" max="4359" width="13" style="201" customWidth="1"/>
    <col min="4360" max="4360" width="14.85546875" style="201" customWidth="1"/>
    <col min="4361" max="4361" width="14.140625" style="201" customWidth="1"/>
    <col min="4362" max="4362" width="15.7109375" style="201" customWidth="1"/>
    <col min="4363" max="4363" width="11.85546875" style="201" customWidth="1"/>
    <col min="4364" max="4608" width="11.42578125" style="201"/>
    <col min="4609" max="4609" width="12.7109375" style="201" customWidth="1"/>
    <col min="4610" max="4610" width="13.140625" style="201" customWidth="1"/>
    <col min="4611" max="4611" width="11.85546875" style="201" customWidth="1"/>
    <col min="4612" max="4612" width="14.140625" style="201" customWidth="1"/>
    <col min="4613" max="4613" width="12.85546875" style="201" customWidth="1"/>
    <col min="4614" max="4614" width="13.140625" style="201" customWidth="1"/>
    <col min="4615" max="4615" width="13" style="201" customWidth="1"/>
    <col min="4616" max="4616" width="14.85546875" style="201" customWidth="1"/>
    <col min="4617" max="4617" width="14.140625" style="201" customWidth="1"/>
    <col min="4618" max="4618" width="15.7109375" style="201" customWidth="1"/>
    <col min="4619" max="4619" width="11.85546875" style="201" customWidth="1"/>
    <col min="4620" max="4864" width="11.42578125" style="201"/>
    <col min="4865" max="4865" width="12.7109375" style="201" customWidth="1"/>
    <col min="4866" max="4866" width="13.140625" style="201" customWidth="1"/>
    <col min="4867" max="4867" width="11.85546875" style="201" customWidth="1"/>
    <col min="4868" max="4868" width="14.140625" style="201" customWidth="1"/>
    <col min="4869" max="4869" width="12.85546875" style="201" customWidth="1"/>
    <col min="4870" max="4870" width="13.140625" style="201" customWidth="1"/>
    <col min="4871" max="4871" width="13" style="201" customWidth="1"/>
    <col min="4872" max="4872" width="14.85546875" style="201" customWidth="1"/>
    <col min="4873" max="4873" width="14.140625" style="201" customWidth="1"/>
    <col min="4874" max="4874" width="15.7109375" style="201" customWidth="1"/>
    <col min="4875" max="4875" width="11.85546875" style="201" customWidth="1"/>
    <col min="4876" max="5120" width="11.42578125" style="201"/>
    <col min="5121" max="5121" width="12.7109375" style="201" customWidth="1"/>
    <col min="5122" max="5122" width="13.140625" style="201" customWidth="1"/>
    <col min="5123" max="5123" width="11.85546875" style="201" customWidth="1"/>
    <col min="5124" max="5124" width="14.140625" style="201" customWidth="1"/>
    <col min="5125" max="5125" width="12.85546875" style="201" customWidth="1"/>
    <col min="5126" max="5126" width="13.140625" style="201" customWidth="1"/>
    <col min="5127" max="5127" width="13" style="201" customWidth="1"/>
    <col min="5128" max="5128" width="14.85546875" style="201" customWidth="1"/>
    <col min="5129" max="5129" width="14.140625" style="201" customWidth="1"/>
    <col min="5130" max="5130" width="15.7109375" style="201" customWidth="1"/>
    <col min="5131" max="5131" width="11.85546875" style="201" customWidth="1"/>
    <col min="5132" max="5376" width="11.42578125" style="201"/>
    <col min="5377" max="5377" width="12.7109375" style="201" customWidth="1"/>
    <col min="5378" max="5378" width="13.140625" style="201" customWidth="1"/>
    <col min="5379" max="5379" width="11.85546875" style="201" customWidth="1"/>
    <col min="5380" max="5380" width="14.140625" style="201" customWidth="1"/>
    <col min="5381" max="5381" width="12.85546875" style="201" customWidth="1"/>
    <col min="5382" max="5382" width="13.140625" style="201" customWidth="1"/>
    <col min="5383" max="5383" width="13" style="201" customWidth="1"/>
    <col min="5384" max="5384" width="14.85546875" style="201" customWidth="1"/>
    <col min="5385" max="5385" width="14.140625" style="201" customWidth="1"/>
    <col min="5386" max="5386" width="15.7109375" style="201" customWidth="1"/>
    <col min="5387" max="5387" width="11.85546875" style="201" customWidth="1"/>
    <col min="5388" max="5632" width="11.42578125" style="201"/>
    <col min="5633" max="5633" width="12.7109375" style="201" customWidth="1"/>
    <col min="5634" max="5634" width="13.140625" style="201" customWidth="1"/>
    <col min="5635" max="5635" width="11.85546875" style="201" customWidth="1"/>
    <col min="5636" max="5636" width="14.140625" style="201" customWidth="1"/>
    <col min="5637" max="5637" width="12.85546875" style="201" customWidth="1"/>
    <col min="5638" max="5638" width="13.140625" style="201" customWidth="1"/>
    <col min="5639" max="5639" width="13" style="201" customWidth="1"/>
    <col min="5640" max="5640" width="14.85546875" style="201" customWidth="1"/>
    <col min="5641" max="5641" width="14.140625" style="201" customWidth="1"/>
    <col min="5642" max="5642" width="15.7109375" style="201" customWidth="1"/>
    <col min="5643" max="5643" width="11.85546875" style="201" customWidth="1"/>
    <col min="5644" max="5888" width="11.42578125" style="201"/>
    <col min="5889" max="5889" width="12.7109375" style="201" customWidth="1"/>
    <col min="5890" max="5890" width="13.140625" style="201" customWidth="1"/>
    <col min="5891" max="5891" width="11.85546875" style="201" customWidth="1"/>
    <col min="5892" max="5892" width="14.140625" style="201" customWidth="1"/>
    <col min="5893" max="5893" width="12.85546875" style="201" customWidth="1"/>
    <col min="5894" max="5894" width="13.140625" style="201" customWidth="1"/>
    <col min="5895" max="5895" width="13" style="201" customWidth="1"/>
    <col min="5896" max="5896" width="14.85546875" style="201" customWidth="1"/>
    <col min="5897" max="5897" width="14.140625" style="201" customWidth="1"/>
    <col min="5898" max="5898" width="15.7109375" style="201" customWidth="1"/>
    <col min="5899" max="5899" width="11.85546875" style="201" customWidth="1"/>
    <col min="5900" max="6144" width="11.42578125" style="201"/>
    <col min="6145" max="6145" width="12.7109375" style="201" customWidth="1"/>
    <col min="6146" max="6146" width="13.140625" style="201" customWidth="1"/>
    <col min="6147" max="6147" width="11.85546875" style="201" customWidth="1"/>
    <col min="6148" max="6148" width="14.140625" style="201" customWidth="1"/>
    <col min="6149" max="6149" width="12.85546875" style="201" customWidth="1"/>
    <col min="6150" max="6150" width="13.140625" style="201" customWidth="1"/>
    <col min="6151" max="6151" width="13" style="201" customWidth="1"/>
    <col min="6152" max="6152" width="14.85546875" style="201" customWidth="1"/>
    <col min="6153" max="6153" width="14.140625" style="201" customWidth="1"/>
    <col min="6154" max="6154" width="15.7109375" style="201" customWidth="1"/>
    <col min="6155" max="6155" width="11.85546875" style="201" customWidth="1"/>
    <col min="6156" max="6400" width="11.42578125" style="201"/>
    <col min="6401" max="6401" width="12.7109375" style="201" customWidth="1"/>
    <col min="6402" max="6402" width="13.140625" style="201" customWidth="1"/>
    <col min="6403" max="6403" width="11.85546875" style="201" customWidth="1"/>
    <col min="6404" max="6404" width="14.140625" style="201" customWidth="1"/>
    <col min="6405" max="6405" width="12.85546875" style="201" customWidth="1"/>
    <col min="6406" max="6406" width="13.140625" style="201" customWidth="1"/>
    <col min="6407" max="6407" width="13" style="201" customWidth="1"/>
    <col min="6408" max="6408" width="14.85546875" style="201" customWidth="1"/>
    <col min="6409" max="6409" width="14.140625" style="201" customWidth="1"/>
    <col min="6410" max="6410" width="15.7109375" style="201" customWidth="1"/>
    <col min="6411" max="6411" width="11.85546875" style="201" customWidth="1"/>
    <col min="6412" max="6656" width="11.42578125" style="201"/>
    <col min="6657" max="6657" width="12.7109375" style="201" customWidth="1"/>
    <col min="6658" max="6658" width="13.140625" style="201" customWidth="1"/>
    <col min="6659" max="6659" width="11.85546875" style="201" customWidth="1"/>
    <col min="6660" max="6660" width="14.140625" style="201" customWidth="1"/>
    <col min="6661" max="6661" width="12.85546875" style="201" customWidth="1"/>
    <col min="6662" max="6662" width="13.140625" style="201" customWidth="1"/>
    <col min="6663" max="6663" width="13" style="201" customWidth="1"/>
    <col min="6664" max="6664" width="14.85546875" style="201" customWidth="1"/>
    <col min="6665" max="6665" width="14.140625" style="201" customWidth="1"/>
    <col min="6666" max="6666" width="15.7109375" style="201" customWidth="1"/>
    <col min="6667" max="6667" width="11.85546875" style="201" customWidth="1"/>
    <col min="6668" max="6912" width="11.42578125" style="201"/>
    <col min="6913" max="6913" width="12.7109375" style="201" customWidth="1"/>
    <col min="6914" max="6914" width="13.140625" style="201" customWidth="1"/>
    <col min="6915" max="6915" width="11.85546875" style="201" customWidth="1"/>
    <col min="6916" max="6916" width="14.140625" style="201" customWidth="1"/>
    <col min="6917" max="6917" width="12.85546875" style="201" customWidth="1"/>
    <col min="6918" max="6918" width="13.140625" style="201" customWidth="1"/>
    <col min="6919" max="6919" width="13" style="201" customWidth="1"/>
    <col min="6920" max="6920" width="14.85546875" style="201" customWidth="1"/>
    <col min="6921" max="6921" width="14.140625" style="201" customWidth="1"/>
    <col min="6922" max="6922" width="15.7109375" style="201" customWidth="1"/>
    <col min="6923" max="6923" width="11.85546875" style="201" customWidth="1"/>
    <col min="6924" max="7168" width="11.42578125" style="201"/>
    <col min="7169" max="7169" width="12.7109375" style="201" customWidth="1"/>
    <col min="7170" max="7170" width="13.140625" style="201" customWidth="1"/>
    <col min="7171" max="7171" width="11.85546875" style="201" customWidth="1"/>
    <col min="7172" max="7172" width="14.140625" style="201" customWidth="1"/>
    <col min="7173" max="7173" width="12.85546875" style="201" customWidth="1"/>
    <col min="7174" max="7174" width="13.140625" style="201" customWidth="1"/>
    <col min="7175" max="7175" width="13" style="201" customWidth="1"/>
    <col min="7176" max="7176" width="14.85546875" style="201" customWidth="1"/>
    <col min="7177" max="7177" width="14.140625" style="201" customWidth="1"/>
    <col min="7178" max="7178" width="15.7109375" style="201" customWidth="1"/>
    <col min="7179" max="7179" width="11.85546875" style="201" customWidth="1"/>
    <col min="7180" max="7424" width="11.42578125" style="201"/>
    <col min="7425" max="7425" width="12.7109375" style="201" customWidth="1"/>
    <col min="7426" max="7426" width="13.140625" style="201" customWidth="1"/>
    <col min="7427" max="7427" width="11.85546875" style="201" customWidth="1"/>
    <col min="7428" max="7428" width="14.140625" style="201" customWidth="1"/>
    <col min="7429" max="7429" width="12.85546875" style="201" customWidth="1"/>
    <col min="7430" max="7430" width="13.140625" style="201" customWidth="1"/>
    <col min="7431" max="7431" width="13" style="201" customWidth="1"/>
    <col min="7432" max="7432" width="14.85546875" style="201" customWidth="1"/>
    <col min="7433" max="7433" width="14.140625" style="201" customWidth="1"/>
    <col min="7434" max="7434" width="15.7109375" style="201" customWidth="1"/>
    <col min="7435" max="7435" width="11.85546875" style="201" customWidth="1"/>
    <col min="7436" max="7680" width="11.42578125" style="201"/>
    <col min="7681" max="7681" width="12.7109375" style="201" customWidth="1"/>
    <col min="7682" max="7682" width="13.140625" style="201" customWidth="1"/>
    <col min="7683" max="7683" width="11.85546875" style="201" customWidth="1"/>
    <col min="7684" max="7684" width="14.140625" style="201" customWidth="1"/>
    <col min="7685" max="7685" width="12.85546875" style="201" customWidth="1"/>
    <col min="7686" max="7686" width="13.140625" style="201" customWidth="1"/>
    <col min="7687" max="7687" width="13" style="201" customWidth="1"/>
    <col min="7688" max="7688" width="14.85546875" style="201" customWidth="1"/>
    <col min="7689" max="7689" width="14.140625" style="201" customWidth="1"/>
    <col min="7690" max="7690" width="15.7109375" style="201" customWidth="1"/>
    <col min="7691" max="7691" width="11.85546875" style="201" customWidth="1"/>
    <col min="7692" max="7936" width="11.42578125" style="201"/>
    <col min="7937" max="7937" width="12.7109375" style="201" customWidth="1"/>
    <col min="7938" max="7938" width="13.140625" style="201" customWidth="1"/>
    <col min="7939" max="7939" width="11.85546875" style="201" customWidth="1"/>
    <col min="7940" max="7940" width="14.140625" style="201" customWidth="1"/>
    <col min="7941" max="7941" width="12.85546875" style="201" customWidth="1"/>
    <col min="7942" max="7942" width="13.140625" style="201" customWidth="1"/>
    <col min="7943" max="7943" width="13" style="201" customWidth="1"/>
    <col min="7944" max="7944" width="14.85546875" style="201" customWidth="1"/>
    <col min="7945" max="7945" width="14.140625" style="201" customWidth="1"/>
    <col min="7946" max="7946" width="15.7109375" style="201" customWidth="1"/>
    <col min="7947" max="7947" width="11.85546875" style="201" customWidth="1"/>
    <col min="7948" max="8192" width="11.42578125" style="201"/>
    <col min="8193" max="8193" width="12.7109375" style="201" customWidth="1"/>
    <col min="8194" max="8194" width="13.140625" style="201" customWidth="1"/>
    <col min="8195" max="8195" width="11.85546875" style="201" customWidth="1"/>
    <col min="8196" max="8196" width="14.140625" style="201" customWidth="1"/>
    <col min="8197" max="8197" width="12.85546875" style="201" customWidth="1"/>
    <col min="8198" max="8198" width="13.140625" style="201" customWidth="1"/>
    <col min="8199" max="8199" width="13" style="201" customWidth="1"/>
    <col min="8200" max="8200" width="14.85546875" style="201" customWidth="1"/>
    <col min="8201" max="8201" width="14.140625" style="201" customWidth="1"/>
    <col min="8202" max="8202" width="15.7109375" style="201" customWidth="1"/>
    <col min="8203" max="8203" width="11.85546875" style="201" customWidth="1"/>
    <col min="8204" max="8448" width="11.42578125" style="201"/>
    <col min="8449" max="8449" width="12.7109375" style="201" customWidth="1"/>
    <col min="8450" max="8450" width="13.140625" style="201" customWidth="1"/>
    <col min="8451" max="8451" width="11.85546875" style="201" customWidth="1"/>
    <col min="8452" max="8452" width="14.140625" style="201" customWidth="1"/>
    <col min="8453" max="8453" width="12.85546875" style="201" customWidth="1"/>
    <col min="8454" max="8454" width="13.140625" style="201" customWidth="1"/>
    <col min="8455" max="8455" width="13" style="201" customWidth="1"/>
    <col min="8456" max="8456" width="14.85546875" style="201" customWidth="1"/>
    <col min="8457" max="8457" width="14.140625" style="201" customWidth="1"/>
    <col min="8458" max="8458" width="15.7109375" style="201" customWidth="1"/>
    <col min="8459" max="8459" width="11.85546875" style="201" customWidth="1"/>
    <col min="8460" max="8704" width="11.42578125" style="201"/>
    <col min="8705" max="8705" width="12.7109375" style="201" customWidth="1"/>
    <col min="8706" max="8706" width="13.140625" style="201" customWidth="1"/>
    <col min="8707" max="8707" width="11.85546875" style="201" customWidth="1"/>
    <col min="8708" max="8708" width="14.140625" style="201" customWidth="1"/>
    <col min="8709" max="8709" width="12.85546875" style="201" customWidth="1"/>
    <col min="8710" max="8710" width="13.140625" style="201" customWidth="1"/>
    <col min="8711" max="8711" width="13" style="201" customWidth="1"/>
    <col min="8712" max="8712" width="14.85546875" style="201" customWidth="1"/>
    <col min="8713" max="8713" width="14.140625" style="201" customWidth="1"/>
    <col min="8714" max="8714" width="15.7109375" style="201" customWidth="1"/>
    <col min="8715" max="8715" width="11.85546875" style="201" customWidth="1"/>
    <col min="8716" max="8960" width="11.42578125" style="201"/>
    <col min="8961" max="8961" width="12.7109375" style="201" customWidth="1"/>
    <col min="8962" max="8962" width="13.140625" style="201" customWidth="1"/>
    <col min="8963" max="8963" width="11.85546875" style="201" customWidth="1"/>
    <col min="8964" max="8964" width="14.140625" style="201" customWidth="1"/>
    <col min="8965" max="8965" width="12.85546875" style="201" customWidth="1"/>
    <col min="8966" max="8966" width="13.140625" style="201" customWidth="1"/>
    <col min="8967" max="8967" width="13" style="201" customWidth="1"/>
    <col min="8968" max="8968" width="14.85546875" style="201" customWidth="1"/>
    <col min="8969" max="8969" width="14.140625" style="201" customWidth="1"/>
    <col min="8970" max="8970" width="15.7109375" style="201" customWidth="1"/>
    <col min="8971" max="8971" width="11.85546875" style="201" customWidth="1"/>
    <col min="8972" max="9216" width="11.42578125" style="201"/>
    <col min="9217" max="9217" width="12.7109375" style="201" customWidth="1"/>
    <col min="9218" max="9218" width="13.140625" style="201" customWidth="1"/>
    <col min="9219" max="9219" width="11.85546875" style="201" customWidth="1"/>
    <col min="9220" max="9220" width="14.140625" style="201" customWidth="1"/>
    <col min="9221" max="9221" width="12.85546875" style="201" customWidth="1"/>
    <col min="9222" max="9222" width="13.140625" style="201" customWidth="1"/>
    <col min="9223" max="9223" width="13" style="201" customWidth="1"/>
    <col min="9224" max="9224" width="14.85546875" style="201" customWidth="1"/>
    <col min="9225" max="9225" width="14.140625" style="201" customWidth="1"/>
    <col min="9226" max="9226" width="15.7109375" style="201" customWidth="1"/>
    <col min="9227" max="9227" width="11.85546875" style="201" customWidth="1"/>
    <col min="9228" max="9472" width="11.42578125" style="201"/>
    <col min="9473" max="9473" width="12.7109375" style="201" customWidth="1"/>
    <col min="9474" max="9474" width="13.140625" style="201" customWidth="1"/>
    <col min="9475" max="9475" width="11.85546875" style="201" customWidth="1"/>
    <col min="9476" max="9476" width="14.140625" style="201" customWidth="1"/>
    <col min="9477" max="9477" width="12.85546875" style="201" customWidth="1"/>
    <col min="9478" max="9478" width="13.140625" style="201" customWidth="1"/>
    <col min="9479" max="9479" width="13" style="201" customWidth="1"/>
    <col min="9480" max="9480" width="14.85546875" style="201" customWidth="1"/>
    <col min="9481" max="9481" width="14.140625" style="201" customWidth="1"/>
    <col min="9482" max="9482" width="15.7109375" style="201" customWidth="1"/>
    <col min="9483" max="9483" width="11.85546875" style="201" customWidth="1"/>
    <col min="9484" max="9728" width="11.42578125" style="201"/>
    <col min="9729" max="9729" width="12.7109375" style="201" customWidth="1"/>
    <col min="9730" max="9730" width="13.140625" style="201" customWidth="1"/>
    <col min="9731" max="9731" width="11.85546875" style="201" customWidth="1"/>
    <col min="9732" max="9732" width="14.140625" style="201" customWidth="1"/>
    <col min="9733" max="9733" width="12.85546875" style="201" customWidth="1"/>
    <col min="9734" max="9734" width="13.140625" style="201" customWidth="1"/>
    <col min="9735" max="9735" width="13" style="201" customWidth="1"/>
    <col min="9736" max="9736" width="14.85546875" style="201" customWidth="1"/>
    <col min="9737" max="9737" width="14.140625" style="201" customWidth="1"/>
    <col min="9738" max="9738" width="15.7109375" style="201" customWidth="1"/>
    <col min="9739" max="9739" width="11.85546875" style="201" customWidth="1"/>
    <col min="9740" max="9984" width="11.42578125" style="201"/>
    <col min="9985" max="9985" width="12.7109375" style="201" customWidth="1"/>
    <col min="9986" max="9986" width="13.140625" style="201" customWidth="1"/>
    <col min="9987" max="9987" width="11.85546875" style="201" customWidth="1"/>
    <col min="9988" max="9988" width="14.140625" style="201" customWidth="1"/>
    <col min="9989" max="9989" width="12.85546875" style="201" customWidth="1"/>
    <col min="9990" max="9990" width="13.140625" style="201" customWidth="1"/>
    <col min="9991" max="9991" width="13" style="201" customWidth="1"/>
    <col min="9992" max="9992" width="14.85546875" style="201" customWidth="1"/>
    <col min="9993" max="9993" width="14.140625" style="201" customWidth="1"/>
    <col min="9994" max="9994" width="15.7109375" style="201" customWidth="1"/>
    <col min="9995" max="9995" width="11.85546875" style="201" customWidth="1"/>
    <col min="9996" max="10240" width="11.42578125" style="201"/>
    <col min="10241" max="10241" width="12.7109375" style="201" customWidth="1"/>
    <col min="10242" max="10242" width="13.140625" style="201" customWidth="1"/>
    <col min="10243" max="10243" width="11.85546875" style="201" customWidth="1"/>
    <col min="10244" max="10244" width="14.140625" style="201" customWidth="1"/>
    <col min="10245" max="10245" width="12.85546875" style="201" customWidth="1"/>
    <col min="10246" max="10246" width="13.140625" style="201" customWidth="1"/>
    <col min="10247" max="10247" width="13" style="201" customWidth="1"/>
    <col min="10248" max="10248" width="14.85546875" style="201" customWidth="1"/>
    <col min="10249" max="10249" width="14.140625" style="201" customWidth="1"/>
    <col min="10250" max="10250" width="15.7109375" style="201" customWidth="1"/>
    <col min="10251" max="10251" width="11.85546875" style="201" customWidth="1"/>
    <col min="10252" max="10496" width="11.42578125" style="201"/>
    <col min="10497" max="10497" width="12.7109375" style="201" customWidth="1"/>
    <col min="10498" max="10498" width="13.140625" style="201" customWidth="1"/>
    <col min="10499" max="10499" width="11.85546875" style="201" customWidth="1"/>
    <col min="10500" max="10500" width="14.140625" style="201" customWidth="1"/>
    <col min="10501" max="10501" width="12.85546875" style="201" customWidth="1"/>
    <col min="10502" max="10502" width="13.140625" style="201" customWidth="1"/>
    <col min="10503" max="10503" width="13" style="201" customWidth="1"/>
    <col min="10504" max="10504" width="14.85546875" style="201" customWidth="1"/>
    <col min="10505" max="10505" width="14.140625" style="201" customWidth="1"/>
    <col min="10506" max="10506" width="15.7109375" style="201" customWidth="1"/>
    <col min="10507" max="10507" width="11.85546875" style="201" customWidth="1"/>
    <col min="10508" max="10752" width="11.42578125" style="201"/>
    <col min="10753" max="10753" width="12.7109375" style="201" customWidth="1"/>
    <col min="10754" max="10754" width="13.140625" style="201" customWidth="1"/>
    <col min="10755" max="10755" width="11.85546875" style="201" customWidth="1"/>
    <col min="10756" max="10756" width="14.140625" style="201" customWidth="1"/>
    <col min="10757" max="10757" width="12.85546875" style="201" customWidth="1"/>
    <col min="10758" max="10758" width="13.140625" style="201" customWidth="1"/>
    <col min="10759" max="10759" width="13" style="201" customWidth="1"/>
    <col min="10760" max="10760" width="14.85546875" style="201" customWidth="1"/>
    <col min="10761" max="10761" width="14.140625" style="201" customWidth="1"/>
    <col min="10762" max="10762" width="15.7109375" style="201" customWidth="1"/>
    <col min="10763" max="10763" width="11.85546875" style="201" customWidth="1"/>
    <col min="10764" max="11008" width="11.42578125" style="201"/>
    <col min="11009" max="11009" width="12.7109375" style="201" customWidth="1"/>
    <col min="11010" max="11010" width="13.140625" style="201" customWidth="1"/>
    <col min="11011" max="11011" width="11.85546875" style="201" customWidth="1"/>
    <col min="11012" max="11012" width="14.140625" style="201" customWidth="1"/>
    <col min="11013" max="11013" width="12.85546875" style="201" customWidth="1"/>
    <col min="11014" max="11014" width="13.140625" style="201" customWidth="1"/>
    <col min="11015" max="11015" width="13" style="201" customWidth="1"/>
    <col min="11016" max="11016" width="14.85546875" style="201" customWidth="1"/>
    <col min="11017" max="11017" width="14.140625" style="201" customWidth="1"/>
    <col min="11018" max="11018" width="15.7109375" style="201" customWidth="1"/>
    <col min="11019" max="11019" width="11.85546875" style="201" customWidth="1"/>
    <col min="11020" max="11264" width="11.42578125" style="201"/>
    <col min="11265" max="11265" width="12.7109375" style="201" customWidth="1"/>
    <col min="11266" max="11266" width="13.140625" style="201" customWidth="1"/>
    <col min="11267" max="11267" width="11.85546875" style="201" customWidth="1"/>
    <col min="11268" max="11268" width="14.140625" style="201" customWidth="1"/>
    <col min="11269" max="11269" width="12.85546875" style="201" customWidth="1"/>
    <col min="11270" max="11270" width="13.140625" style="201" customWidth="1"/>
    <col min="11271" max="11271" width="13" style="201" customWidth="1"/>
    <col min="11272" max="11272" width="14.85546875" style="201" customWidth="1"/>
    <col min="11273" max="11273" width="14.140625" style="201" customWidth="1"/>
    <col min="11274" max="11274" width="15.7109375" style="201" customWidth="1"/>
    <col min="11275" max="11275" width="11.85546875" style="201" customWidth="1"/>
    <col min="11276" max="11520" width="11.42578125" style="201"/>
    <col min="11521" max="11521" width="12.7109375" style="201" customWidth="1"/>
    <col min="11522" max="11522" width="13.140625" style="201" customWidth="1"/>
    <col min="11523" max="11523" width="11.85546875" style="201" customWidth="1"/>
    <col min="11524" max="11524" width="14.140625" style="201" customWidth="1"/>
    <col min="11525" max="11525" width="12.85546875" style="201" customWidth="1"/>
    <col min="11526" max="11526" width="13.140625" style="201" customWidth="1"/>
    <col min="11527" max="11527" width="13" style="201" customWidth="1"/>
    <col min="11528" max="11528" width="14.85546875" style="201" customWidth="1"/>
    <col min="11529" max="11529" width="14.140625" style="201" customWidth="1"/>
    <col min="11530" max="11530" width="15.7109375" style="201" customWidth="1"/>
    <col min="11531" max="11531" width="11.85546875" style="201" customWidth="1"/>
    <col min="11532" max="11776" width="11.42578125" style="201"/>
    <col min="11777" max="11777" width="12.7109375" style="201" customWidth="1"/>
    <col min="11778" max="11778" width="13.140625" style="201" customWidth="1"/>
    <col min="11779" max="11779" width="11.85546875" style="201" customWidth="1"/>
    <col min="11780" max="11780" width="14.140625" style="201" customWidth="1"/>
    <col min="11781" max="11781" width="12.85546875" style="201" customWidth="1"/>
    <col min="11782" max="11782" width="13.140625" style="201" customWidth="1"/>
    <col min="11783" max="11783" width="13" style="201" customWidth="1"/>
    <col min="11784" max="11784" width="14.85546875" style="201" customWidth="1"/>
    <col min="11785" max="11785" width="14.140625" style="201" customWidth="1"/>
    <col min="11786" max="11786" width="15.7109375" style="201" customWidth="1"/>
    <col min="11787" max="11787" width="11.85546875" style="201" customWidth="1"/>
    <col min="11788" max="12032" width="11.42578125" style="201"/>
    <col min="12033" max="12033" width="12.7109375" style="201" customWidth="1"/>
    <col min="12034" max="12034" width="13.140625" style="201" customWidth="1"/>
    <col min="12035" max="12035" width="11.85546875" style="201" customWidth="1"/>
    <col min="12036" max="12036" width="14.140625" style="201" customWidth="1"/>
    <col min="12037" max="12037" width="12.85546875" style="201" customWidth="1"/>
    <col min="12038" max="12038" width="13.140625" style="201" customWidth="1"/>
    <col min="12039" max="12039" width="13" style="201" customWidth="1"/>
    <col min="12040" max="12040" width="14.85546875" style="201" customWidth="1"/>
    <col min="12041" max="12041" width="14.140625" style="201" customWidth="1"/>
    <col min="12042" max="12042" width="15.7109375" style="201" customWidth="1"/>
    <col min="12043" max="12043" width="11.85546875" style="201" customWidth="1"/>
    <col min="12044" max="12288" width="11.42578125" style="201"/>
    <col min="12289" max="12289" width="12.7109375" style="201" customWidth="1"/>
    <col min="12290" max="12290" width="13.140625" style="201" customWidth="1"/>
    <col min="12291" max="12291" width="11.85546875" style="201" customWidth="1"/>
    <col min="12292" max="12292" width="14.140625" style="201" customWidth="1"/>
    <col min="12293" max="12293" width="12.85546875" style="201" customWidth="1"/>
    <col min="12294" max="12294" width="13.140625" style="201" customWidth="1"/>
    <col min="12295" max="12295" width="13" style="201" customWidth="1"/>
    <col min="12296" max="12296" width="14.85546875" style="201" customWidth="1"/>
    <col min="12297" max="12297" width="14.140625" style="201" customWidth="1"/>
    <col min="12298" max="12298" width="15.7109375" style="201" customWidth="1"/>
    <col min="12299" max="12299" width="11.85546875" style="201" customWidth="1"/>
    <col min="12300" max="12544" width="11.42578125" style="201"/>
    <col min="12545" max="12545" width="12.7109375" style="201" customWidth="1"/>
    <col min="12546" max="12546" width="13.140625" style="201" customWidth="1"/>
    <col min="12547" max="12547" width="11.85546875" style="201" customWidth="1"/>
    <col min="12548" max="12548" width="14.140625" style="201" customWidth="1"/>
    <col min="12549" max="12549" width="12.85546875" style="201" customWidth="1"/>
    <col min="12550" max="12550" width="13.140625" style="201" customWidth="1"/>
    <col min="12551" max="12551" width="13" style="201" customWidth="1"/>
    <col min="12552" max="12552" width="14.85546875" style="201" customWidth="1"/>
    <col min="12553" max="12553" width="14.140625" style="201" customWidth="1"/>
    <col min="12554" max="12554" width="15.7109375" style="201" customWidth="1"/>
    <col min="12555" max="12555" width="11.85546875" style="201" customWidth="1"/>
    <col min="12556" max="12800" width="11.42578125" style="201"/>
    <col min="12801" max="12801" width="12.7109375" style="201" customWidth="1"/>
    <col min="12802" max="12802" width="13.140625" style="201" customWidth="1"/>
    <col min="12803" max="12803" width="11.85546875" style="201" customWidth="1"/>
    <col min="12804" max="12804" width="14.140625" style="201" customWidth="1"/>
    <col min="12805" max="12805" width="12.85546875" style="201" customWidth="1"/>
    <col min="12806" max="12806" width="13.140625" style="201" customWidth="1"/>
    <col min="12807" max="12807" width="13" style="201" customWidth="1"/>
    <col min="12808" max="12808" width="14.85546875" style="201" customWidth="1"/>
    <col min="12809" max="12809" width="14.140625" style="201" customWidth="1"/>
    <col min="12810" max="12810" width="15.7109375" style="201" customWidth="1"/>
    <col min="12811" max="12811" width="11.85546875" style="201" customWidth="1"/>
    <col min="12812" max="13056" width="11.42578125" style="201"/>
    <col min="13057" max="13057" width="12.7109375" style="201" customWidth="1"/>
    <col min="13058" max="13058" width="13.140625" style="201" customWidth="1"/>
    <col min="13059" max="13059" width="11.85546875" style="201" customWidth="1"/>
    <col min="13060" max="13060" width="14.140625" style="201" customWidth="1"/>
    <col min="13061" max="13061" width="12.85546875" style="201" customWidth="1"/>
    <col min="13062" max="13062" width="13.140625" style="201" customWidth="1"/>
    <col min="13063" max="13063" width="13" style="201" customWidth="1"/>
    <col min="13064" max="13064" width="14.85546875" style="201" customWidth="1"/>
    <col min="13065" max="13065" width="14.140625" style="201" customWidth="1"/>
    <col min="13066" max="13066" width="15.7109375" style="201" customWidth="1"/>
    <col min="13067" max="13067" width="11.85546875" style="201" customWidth="1"/>
    <col min="13068" max="13312" width="11.42578125" style="201"/>
    <col min="13313" max="13313" width="12.7109375" style="201" customWidth="1"/>
    <col min="13314" max="13314" width="13.140625" style="201" customWidth="1"/>
    <col min="13315" max="13315" width="11.85546875" style="201" customWidth="1"/>
    <col min="13316" max="13316" width="14.140625" style="201" customWidth="1"/>
    <col min="13317" max="13317" width="12.85546875" style="201" customWidth="1"/>
    <col min="13318" max="13318" width="13.140625" style="201" customWidth="1"/>
    <col min="13319" max="13319" width="13" style="201" customWidth="1"/>
    <col min="13320" max="13320" width="14.85546875" style="201" customWidth="1"/>
    <col min="13321" max="13321" width="14.140625" style="201" customWidth="1"/>
    <col min="13322" max="13322" width="15.7109375" style="201" customWidth="1"/>
    <col min="13323" max="13323" width="11.85546875" style="201" customWidth="1"/>
    <col min="13324" max="13568" width="11.42578125" style="201"/>
    <col min="13569" max="13569" width="12.7109375" style="201" customWidth="1"/>
    <col min="13570" max="13570" width="13.140625" style="201" customWidth="1"/>
    <col min="13571" max="13571" width="11.85546875" style="201" customWidth="1"/>
    <col min="13572" max="13572" width="14.140625" style="201" customWidth="1"/>
    <col min="13573" max="13573" width="12.85546875" style="201" customWidth="1"/>
    <col min="13574" max="13574" width="13.140625" style="201" customWidth="1"/>
    <col min="13575" max="13575" width="13" style="201" customWidth="1"/>
    <col min="13576" max="13576" width="14.85546875" style="201" customWidth="1"/>
    <col min="13577" max="13577" width="14.140625" style="201" customWidth="1"/>
    <col min="13578" max="13578" width="15.7109375" style="201" customWidth="1"/>
    <col min="13579" max="13579" width="11.85546875" style="201" customWidth="1"/>
    <col min="13580" max="13824" width="11.42578125" style="201"/>
    <col min="13825" max="13825" width="12.7109375" style="201" customWidth="1"/>
    <col min="13826" max="13826" width="13.140625" style="201" customWidth="1"/>
    <col min="13827" max="13827" width="11.85546875" style="201" customWidth="1"/>
    <col min="13828" max="13828" width="14.140625" style="201" customWidth="1"/>
    <col min="13829" max="13829" width="12.85546875" style="201" customWidth="1"/>
    <col min="13830" max="13830" width="13.140625" style="201" customWidth="1"/>
    <col min="13831" max="13831" width="13" style="201" customWidth="1"/>
    <col min="13832" max="13832" width="14.85546875" style="201" customWidth="1"/>
    <col min="13833" max="13833" width="14.140625" style="201" customWidth="1"/>
    <col min="13834" max="13834" width="15.7109375" style="201" customWidth="1"/>
    <col min="13835" max="13835" width="11.85546875" style="201" customWidth="1"/>
    <col min="13836" max="14080" width="11.42578125" style="201"/>
    <col min="14081" max="14081" width="12.7109375" style="201" customWidth="1"/>
    <col min="14082" max="14082" width="13.140625" style="201" customWidth="1"/>
    <col min="14083" max="14083" width="11.85546875" style="201" customWidth="1"/>
    <col min="14084" max="14084" width="14.140625" style="201" customWidth="1"/>
    <col min="14085" max="14085" width="12.85546875" style="201" customWidth="1"/>
    <col min="14086" max="14086" width="13.140625" style="201" customWidth="1"/>
    <col min="14087" max="14087" width="13" style="201" customWidth="1"/>
    <col min="14088" max="14088" width="14.85546875" style="201" customWidth="1"/>
    <col min="14089" max="14089" width="14.140625" style="201" customWidth="1"/>
    <col min="14090" max="14090" width="15.7109375" style="201" customWidth="1"/>
    <col min="14091" max="14091" width="11.85546875" style="201" customWidth="1"/>
    <col min="14092" max="14336" width="11.42578125" style="201"/>
    <col min="14337" max="14337" width="12.7109375" style="201" customWidth="1"/>
    <col min="14338" max="14338" width="13.140625" style="201" customWidth="1"/>
    <col min="14339" max="14339" width="11.85546875" style="201" customWidth="1"/>
    <col min="14340" max="14340" width="14.140625" style="201" customWidth="1"/>
    <col min="14341" max="14341" width="12.85546875" style="201" customWidth="1"/>
    <col min="14342" max="14342" width="13.140625" style="201" customWidth="1"/>
    <col min="14343" max="14343" width="13" style="201" customWidth="1"/>
    <col min="14344" max="14344" width="14.85546875" style="201" customWidth="1"/>
    <col min="14345" max="14345" width="14.140625" style="201" customWidth="1"/>
    <col min="14346" max="14346" width="15.7109375" style="201" customWidth="1"/>
    <col min="14347" max="14347" width="11.85546875" style="201" customWidth="1"/>
    <col min="14348" max="14592" width="11.42578125" style="201"/>
    <col min="14593" max="14593" width="12.7109375" style="201" customWidth="1"/>
    <col min="14594" max="14594" width="13.140625" style="201" customWidth="1"/>
    <col min="14595" max="14595" width="11.85546875" style="201" customWidth="1"/>
    <col min="14596" max="14596" width="14.140625" style="201" customWidth="1"/>
    <col min="14597" max="14597" width="12.85546875" style="201" customWidth="1"/>
    <col min="14598" max="14598" width="13.140625" style="201" customWidth="1"/>
    <col min="14599" max="14599" width="13" style="201" customWidth="1"/>
    <col min="14600" max="14600" width="14.85546875" style="201" customWidth="1"/>
    <col min="14601" max="14601" width="14.140625" style="201" customWidth="1"/>
    <col min="14602" max="14602" width="15.7109375" style="201" customWidth="1"/>
    <col min="14603" max="14603" width="11.85546875" style="201" customWidth="1"/>
    <col min="14604" max="14848" width="11.42578125" style="201"/>
    <col min="14849" max="14849" width="12.7109375" style="201" customWidth="1"/>
    <col min="14850" max="14850" width="13.140625" style="201" customWidth="1"/>
    <col min="14851" max="14851" width="11.85546875" style="201" customWidth="1"/>
    <col min="14852" max="14852" width="14.140625" style="201" customWidth="1"/>
    <col min="14853" max="14853" width="12.85546875" style="201" customWidth="1"/>
    <col min="14854" max="14854" width="13.140625" style="201" customWidth="1"/>
    <col min="14855" max="14855" width="13" style="201" customWidth="1"/>
    <col min="14856" max="14856" width="14.85546875" style="201" customWidth="1"/>
    <col min="14857" max="14857" width="14.140625" style="201" customWidth="1"/>
    <col min="14858" max="14858" width="15.7109375" style="201" customWidth="1"/>
    <col min="14859" max="14859" width="11.85546875" style="201" customWidth="1"/>
    <col min="14860" max="15104" width="11.42578125" style="201"/>
    <col min="15105" max="15105" width="12.7109375" style="201" customWidth="1"/>
    <col min="15106" max="15106" width="13.140625" style="201" customWidth="1"/>
    <col min="15107" max="15107" width="11.85546875" style="201" customWidth="1"/>
    <col min="15108" max="15108" width="14.140625" style="201" customWidth="1"/>
    <col min="15109" max="15109" width="12.85546875" style="201" customWidth="1"/>
    <col min="15110" max="15110" width="13.140625" style="201" customWidth="1"/>
    <col min="15111" max="15111" width="13" style="201" customWidth="1"/>
    <col min="15112" max="15112" width="14.85546875" style="201" customWidth="1"/>
    <col min="15113" max="15113" width="14.140625" style="201" customWidth="1"/>
    <col min="15114" max="15114" width="15.7109375" style="201" customWidth="1"/>
    <col min="15115" max="15115" width="11.85546875" style="201" customWidth="1"/>
    <col min="15116" max="15360" width="11.42578125" style="201"/>
    <col min="15361" max="15361" width="12.7109375" style="201" customWidth="1"/>
    <col min="15362" max="15362" width="13.140625" style="201" customWidth="1"/>
    <col min="15363" max="15363" width="11.85546875" style="201" customWidth="1"/>
    <col min="15364" max="15364" width="14.140625" style="201" customWidth="1"/>
    <col min="15365" max="15365" width="12.85546875" style="201" customWidth="1"/>
    <col min="15366" max="15366" width="13.140625" style="201" customWidth="1"/>
    <col min="15367" max="15367" width="13" style="201" customWidth="1"/>
    <col min="15368" max="15368" width="14.85546875" style="201" customWidth="1"/>
    <col min="15369" max="15369" width="14.140625" style="201" customWidth="1"/>
    <col min="15370" max="15370" width="15.7109375" style="201" customWidth="1"/>
    <col min="15371" max="15371" width="11.85546875" style="201" customWidth="1"/>
    <col min="15372" max="15616" width="11.42578125" style="201"/>
    <col min="15617" max="15617" width="12.7109375" style="201" customWidth="1"/>
    <col min="15618" max="15618" width="13.140625" style="201" customWidth="1"/>
    <col min="15619" max="15619" width="11.85546875" style="201" customWidth="1"/>
    <col min="15620" max="15620" width="14.140625" style="201" customWidth="1"/>
    <col min="15621" max="15621" width="12.85546875" style="201" customWidth="1"/>
    <col min="15622" max="15622" width="13.140625" style="201" customWidth="1"/>
    <col min="15623" max="15623" width="13" style="201" customWidth="1"/>
    <col min="15624" max="15624" width="14.85546875" style="201" customWidth="1"/>
    <col min="15625" max="15625" width="14.140625" style="201" customWidth="1"/>
    <col min="15626" max="15626" width="15.7109375" style="201" customWidth="1"/>
    <col min="15627" max="15627" width="11.85546875" style="201" customWidth="1"/>
    <col min="15628" max="15872" width="11.42578125" style="201"/>
    <col min="15873" max="15873" width="12.7109375" style="201" customWidth="1"/>
    <col min="15874" max="15874" width="13.140625" style="201" customWidth="1"/>
    <col min="15875" max="15875" width="11.85546875" style="201" customWidth="1"/>
    <col min="15876" max="15876" width="14.140625" style="201" customWidth="1"/>
    <col min="15877" max="15877" width="12.85546875" style="201" customWidth="1"/>
    <col min="15878" max="15878" width="13.140625" style="201" customWidth="1"/>
    <col min="15879" max="15879" width="13" style="201" customWidth="1"/>
    <col min="15880" max="15880" width="14.85546875" style="201" customWidth="1"/>
    <col min="15881" max="15881" width="14.140625" style="201" customWidth="1"/>
    <col min="15882" max="15882" width="15.7109375" style="201" customWidth="1"/>
    <col min="15883" max="15883" width="11.85546875" style="201" customWidth="1"/>
    <col min="15884" max="16128" width="11.42578125" style="201"/>
    <col min="16129" max="16129" width="12.7109375" style="201" customWidth="1"/>
    <col min="16130" max="16130" width="13.140625" style="201" customWidth="1"/>
    <col min="16131" max="16131" width="11.85546875" style="201" customWidth="1"/>
    <col min="16132" max="16132" width="14.140625" style="201" customWidth="1"/>
    <col min="16133" max="16133" width="12.85546875" style="201" customWidth="1"/>
    <col min="16134" max="16134" width="13.140625" style="201" customWidth="1"/>
    <col min="16135" max="16135" width="13" style="201" customWidth="1"/>
    <col min="16136" max="16136" width="14.85546875" style="201" customWidth="1"/>
    <col min="16137" max="16137" width="14.140625" style="201" customWidth="1"/>
    <col min="16138" max="16138" width="15.7109375" style="201" customWidth="1"/>
    <col min="16139" max="16139" width="11.85546875" style="201" customWidth="1"/>
    <col min="16140" max="16384" width="11.42578125" style="201"/>
  </cols>
  <sheetData>
    <row r="1" spans="1:12" s="2" customFormat="1" ht="15" customHeight="1" x14ac:dyDescent="0.2">
      <c r="A1" s="12"/>
      <c r="B1" s="13"/>
      <c r="C1" s="14" t="s">
        <v>60</v>
      </c>
      <c r="D1" s="15"/>
      <c r="E1" s="474" t="s">
        <v>61</v>
      </c>
      <c r="F1" s="475"/>
      <c r="G1" s="475"/>
      <c r="H1" s="476"/>
      <c r="I1" s="16"/>
      <c r="J1" s="13"/>
      <c r="K1" s="17"/>
    </row>
    <row r="2" spans="1:12" s="2" customFormat="1" ht="40.5" customHeight="1" x14ac:dyDescent="0.2">
      <c r="A2" s="18"/>
      <c r="B2" s="19"/>
      <c r="C2" s="20"/>
      <c r="D2" s="21"/>
      <c r="E2" s="477"/>
      <c r="F2" s="478"/>
      <c r="G2" s="478"/>
      <c r="H2" s="479"/>
      <c r="I2" s="22"/>
      <c r="J2" s="23"/>
      <c r="K2" s="24"/>
    </row>
    <row r="3" spans="1:12" s="2" customFormat="1" ht="15" customHeight="1" x14ac:dyDescent="0.2">
      <c r="A3" s="480" t="s">
        <v>410</v>
      </c>
      <c r="B3" s="481"/>
      <c r="C3" s="481"/>
      <c r="D3" s="482"/>
      <c r="E3" s="25" t="s">
        <v>62</v>
      </c>
      <c r="F3" s="192" t="s">
        <v>411</v>
      </c>
      <c r="G3" s="26"/>
      <c r="H3" s="27"/>
      <c r="I3" s="28" t="s">
        <v>412</v>
      </c>
      <c r="J3" s="483">
        <v>2007</v>
      </c>
      <c r="K3" s="484"/>
    </row>
    <row r="4" spans="1:12" s="2" customFormat="1" ht="12.75" x14ac:dyDescent="0.2">
      <c r="A4" s="31"/>
      <c r="B4" s="31"/>
      <c r="C4" s="31"/>
      <c r="D4" s="29"/>
      <c r="E4" s="29"/>
      <c r="F4" s="29"/>
      <c r="G4" s="29"/>
      <c r="H4" s="29"/>
      <c r="I4" s="29"/>
      <c r="J4" s="30"/>
      <c r="K4" s="30"/>
    </row>
    <row r="5" spans="1:12" s="197" customFormat="1" ht="25.5" x14ac:dyDescent="0.2">
      <c r="A5" s="29"/>
      <c r="B5" s="29"/>
      <c r="C5" s="29"/>
      <c r="D5" s="29"/>
      <c r="E5" s="29"/>
      <c r="F5" s="29"/>
      <c r="G5" s="421" t="s">
        <v>498</v>
      </c>
      <c r="H5" s="421" t="s">
        <v>499</v>
      </c>
      <c r="I5" s="31"/>
      <c r="J5" s="30"/>
      <c r="K5" s="30"/>
    </row>
    <row r="6" spans="1:12" s="197" customFormat="1" ht="12.75" x14ac:dyDescent="0.2">
      <c r="A6" s="29"/>
      <c r="B6" s="29"/>
      <c r="C6" s="29"/>
      <c r="D6" s="29"/>
      <c r="E6" s="29"/>
      <c r="F6" s="29"/>
      <c r="G6" s="422" t="s">
        <v>500</v>
      </c>
      <c r="H6" s="422">
        <f>iohsb1!B6</f>
        <v>3</v>
      </c>
      <c r="I6" s="31"/>
      <c r="J6" s="30"/>
      <c r="K6" s="30"/>
    </row>
    <row r="7" spans="1:12" s="197" customFormat="1" ht="12.75" x14ac:dyDescent="0.2">
      <c r="A7" s="29"/>
      <c r="B7" s="29"/>
      <c r="C7" s="29"/>
      <c r="D7" s="29"/>
      <c r="E7" s="29"/>
      <c r="F7" s="29"/>
      <c r="G7" s="422" t="s">
        <v>497</v>
      </c>
      <c r="H7" s="422">
        <f>iohsb1!B7</f>
        <v>1</v>
      </c>
      <c r="I7" s="31"/>
      <c r="J7" s="30"/>
      <c r="K7" s="30"/>
    </row>
    <row r="8" spans="1:12" s="32" customFormat="1" ht="12.75" x14ac:dyDescent="0.2">
      <c r="A8" s="198"/>
      <c r="B8" s="199"/>
      <c r="C8" s="199"/>
      <c r="D8" s="199"/>
      <c r="E8" s="199"/>
      <c r="F8" s="199"/>
      <c r="G8" s="422" t="s">
        <v>501</v>
      </c>
      <c r="H8" s="422">
        <f>iohsb1!B8</f>
        <v>2</v>
      </c>
      <c r="I8" s="198"/>
      <c r="J8" s="198"/>
      <c r="K8" s="198"/>
    </row>
    <row r="9" spans="1:12" x14ac:dyDescent="0.25">
      <c r="C9" s="200"/>
    </row>
    <row r="10" spans="1:12" x14ac:dyDescent="0.25">
      <c r="A10" s="194" t="s">
        <v>57</v>
      </c>
    </row>
    <row r="11" spans="1:12" ht="15" customHeight="1" x14ac:dyDescent="0.25">
      <c r="B11" s="9" t="s">
        <v>413</v>
      </c>
    </row>
    <row r="12" spans="1:12" ht="15" customHeight="1" x14ac:dyDescent="0.25">
      <c r="B12" s="9" t="s">
        <v>28</v>
      </c>
      <c r="C12" s="202">
        <f>iohsb1!B9</f>
        <v>10</v>
      </c>
      <c r="D12" s="9" t="s">
        <v>2</v>
      </c>
      <c r="E12" s="203" t="s">
        <v>29</v>
      </c>
      <c r="L12" s="1" t="s">
        <v>398</v>
      </c>
    </row>
    <row r="13" spans="1:12" ht="15" customHeight="1" x14ac:dyDescent="0.3">
      <c r="B13" s="10" t="s">
        <v>30</v>
      </c>
      <c r="C13" s="204">
        <v>0</v>
      </c>
      <c r="D13" s="9" t="s">
        <v>15</v>
      </c>
      <c r="E13" s="203" t="s">
        <v>31</v>
      </c>
      <c r="L13" s="1" t="s">
        <v>399</v>
      </c>
    </row>
    <row r="14" spans="1:12" ht="15" customHeight="1" x14ac:dyDescent="0.25">
      <c r="B14" s="9" t="s">
        <v>7</v>
      </c>
      <c r="C14" s="202">
        <f>iohsb1!B2</f>
        <v>521</v>
      </c>
      <c r="E14" s="203" t="s">
        <v>8</v>
      </c>
      <c r="L14" s="1" t="s">
        <v>398</v>
      </c>
    </row>
    <row r="15" spans="1:12" ht="15" customHeight="1" x14ac:dyDescent="0.25">
      <c r="B15" s="9" t="s">
        <v>32</v>
      </c>
      <c r="C15" s="202">
        <f>(iohsb1!B2+iohsb1!B3)/2</f>
        <v>521</v>
      </c>
      <c r="E15" s="203" t="s">
        <v>33</v>
      </c>
      <c r="H15" s="190" t="s">
        <v>408</v>
      </c>
      <c r="I15" s="8"/>
      <c r="J15" s="8"/>
      <c r="K15" s="8"/>
      <c r="L15" s="1" t="s">
        <v>401</v>
      </c>
    </row>
    <row r="16" spans="1:12" ht="15" customHeight="1" x14ac:dyDescent="0.25">
      <c r="B16" s="9" t="s">
        <v>34</v>
      </c>
      <c r="C16" s="202">
        <f>iohsb1!B4</f>
        <v>505</v>
      </c>
      <c r="E16" s="203" t="s">
        <v>35</v>
      </c>
      <c r="H16" s="190">
        <f>iohsb1!$B$12+iohsb1!$B$13*J16^iohsb1!$B$14</f>
        <v>499.33666660284899</v>
      </c>
      <c r="I16" s="190" t="s">
        <v>407</v>
      </c>
      <c r="J16" s="191">
        <f>C101*1000/(D50*9.81*0.97*0.92)</f>
        <v>73.600321951595831</v>
      </c>
      <c r="K16" s="191" t="s">
        <v>0</v>
      </c>
      <c r="L16" s="1" t="s">
        <v>398</v>
      </c>
    </row>
    <row r="17" spans="1:12" ht="15" customHeight="1" x14ac:dyDescent="0.25">
      <c r="B17" s="9" t="s">
        <v>36</v>
      </c>
      <c r="C17" s="202">
        <f>IF(iohsb1!B18=0,C16-3,iohsb1!B18)</f>
        <v>502</v>
      </c>
      <c r="E17" s="203" t="s">
        <v>37</v>
      </c>
      <c r="H17" s="190">
        <f>iohsb1!$B$12+iohsb1!$B$13*J17^iohsb1!$B$14</f>
        <v>499.02004985595414</v>
      </c>
      <c r="I17" s="190" t="s">
        <v>698</v>
      </c>
      <c r="J17" s="191">
        <f>J16/F79</f>
        <v>36.800160975797915</v>
      </c>
      <c r="K17" s="191" t="s">
        <v>0</v>
      </c>
      <c r="L17" s="1" t="s">
        <v>403</v>
      </c>
    </row>
    <row r="18" spans="1:12" ht="15" customHeight="1" x14ac:dyDescent="0.25">
      <c r="A18" s="194"/>
      <c r="B18" s="9" t="s">
        <v>38</v>
      </c>
      <c r="C18" s="205">
        <f>iohsb1!B10*100</f>
        <v>3</v>
      </c>
      <c r="D18" s="9" t="s">
        <v>39</v>
      </c>
      <c r="E18" s="203" t="s">
        <v>414</v>
      </c>
      <c r="L18" s="1" t="s">
        <v>398</v>
      </c>
    </row>
    <row r="19" spans="1:12" ht="15" customHeight="1" x14ac:dyDescent="0.25">
      <c r="B19" s="9" t="s">
        <v>40</v>
      </c>
      <c r="C19" s="155">
        <v>0.9</v>
      </c>
      <c r="E19" s="206" t="s">
        <v>41</v>
      </c>
      <c r="L19" s="1" t="s">
        <v>399</v>
      </c>
    </row>
    <row r="20" spans="1:12" ht="15" customHeight="1" x14ac:dyDescent="0.25">
      <c r="B20" s="207" t="s">
        <v>42</v>
      </c>
      <c r="C20" s="155">
        <v>0.97</v>
      </c>
      <c r="E20" s="203" t="s">
        <v>43</v>
      </c>
      <c r="L20" s="1" t="s">
        <v>399</v>
      </c>
    </row>
    <row r="21" spans="1:12" ht="15" customHeight="1" x14ac:dyDescent="0.25">
      <c r="B21" s="208" t="s">
        <v>44</v>
      </c>
      <c r="C21" s="155">
        <v>25</v>
      </c>
      <c r="D21" s="208" t="s">
        <v>45</v>
      </c>
      <c r="E21" s="209" t="s">
        <v>46</v>
      </c>
      <c r="L21" s="1" t="s">
        <v>402</v>
      </c>
    </row>
    <row r="22" spans="1:12" ht="15" customHeight="1" x14ac:dyDescent="0.25">
      <c r="B22" s="210" t="s">
        <v>47</v>
      </c>
      <c r="C22" s="155">
        <v>60</v>
      </c>
      <c r="D22" s="9" t="s">
        <v>48</v>
      </c>
      <c r="E22" s="203" t="s">
        <v>49</v>
      </c>
      <c r="L22" s="1" t="s">
        <v>399</v>
      </c>
    </row>
    <row r="23" spans="1:12" ht="15" customHeight="1" x14ac:dyDescent="0.25">
      <c r="B23" s="9" t="s">
        <v>50</v>
      </c>
      <c r="C23" s="211"/>
      <c r="E23" s="203"/>
    </row>
    <row r="24" spans="1:12" ht="15" customHeight="1" x14ac:dyDescent="0.25">
      <c r="B24" s="9" t="s">
        <v>11</v>
      </c>
      <c r="C24" s="205"/>
      <c r="E24" s="203" t="s">
        <v>51</v>
      </c>
    </row>
    <row r="25" spans="1:12" ht="15" customHeight="1" x14ac:dyDescent="0.25">
      <c r="B25" s="9" t="s">
        <v>12</v>
      </c>
      <c r="C25" s="155">
        <f>VLOOKUP(iohsb1!B17,G6:H8,2,FALSE)</f>
        <v>1</v>
      </c>
      <c r="D25" s="9" t="s">
        <v>1</v>
      </c>
      <c r="E25" s="203" t="s">
        <v>52</v>
      </c>
      <c r="L25" s="1" t="s">
        <v>398</v>
      </c>
    </row>
    <row r="26" spans="1:12" ht="15" customHeight="1" x14ac:dyDescent="0.25">
      <c r="B26" s="9" t="s">
        <v>55</v>
      </c>
      <c r="C26" s="155">
        <f>iohsb1!$B$12+iohsb1!$B$13*iohsb1!B11^iohsb1!$B$14</f>
        <v>500.3121568818882</v>
      </c>
      <c r="E26" s="203" t="s">
        <v>56</v>
      </c>
      <c r="L26" s="1" t="s">
        <v>406</v>
      </c>
    </row>
    <row r="27" spans="1:12" ht="15" customHeight="1" x14ac:dyDescent="0.25">
      <c r="B27" s="9" t="s">
        <v>415</v>
      </c>
      <c r="C27" s="156"/>
      <c r="D27" s="9" t="s">
        <v>54</v>
      </c>
      <c r="E27" s="203" t="s">
        <v>416</v>
      </c>
      <c r="L27" s="1" t="s">
        <v>587</v>
      </c>
    </row>
    <row r="28" spans="1:12" ht="15" customHeight="1" x14ac:dyDescent="0.2">
      <c r="B28" s="9" t="s">
        <v>53</v>
      </c>
      <c r="C28" s="156"/>
      <c r="D28" s="9" t="s">
        <v>54</v>
      </c>
      <c r="E28" s="203" t="s">
        <v>417</v>
      </c>
    </row>
    <row r="29" spans="1:12" ht="15" customHeight="1" x14ac:dyDescent="0.3">
      <c r="B29" s="4" t="s">
        <v>418</v>
      </c>
      <c r="C29" s="156">
        <f>0.3*C27</f>
        <v>0</v>
      </c>
      <c r="D29" s="9" t="s">
        <v>58</v>
      </c>
      <c r="E29" s="203" t="s">
        <v>419</v>
      </c>
      <c r="L29" s="1" t="s">
        <v>588</v>
      </c>
    </row>
    <row r="30" spans="1:12" ht="15" customHeight="1" x14ac:dyDescent="0.25">
      <c r="B30" s="2"/>
      <c r="C30"/>
      <c r="D30"/>
      <c r="E30"/>
    </row>
    <row r="31" spans="1:12" ht="15" customHeight="1" x14ac:dyDescent="0.25">
      <c r="B31" s="114" t="s">
        <v>211</v>
      </c>
      <c r="C31"/>
      <c r="D31"/>
      <c r="E31"/>
    </row>
    <row r="32" spans="1:12" ht="15" customHeight="1" x14ac:dyDescent="0.25">
      <c r="B32" s="157" t="str">
        <f>IF(C13&lt;E78,"Potência da unidade geradora maior que a máxima recomendada. Foi aumentado o número de unidades",IF(F90&lt;F79,"Potência da unidade geradora menor que a mínima recomendada. Foi diminuído o número de unidades"," "))</f>
        <v>Potência da unidade geradora maior que a máxima recomendada. Foi aumentado o número de unidades</v>
      </c>
      <c r="C32"/>
      <c r="D32"/>
      <c r="E32"/>
    </row>
    <row r="33" spans="1:11" ht="15" customHeight="1" x14ac:dyDescent="0.25">
      <c r="B33" s="2"/>
      <c r="C33"/>
      <c r="D33"/>
      <c r="E33"/>
    </row>
    <row r="34" spans="1:11" ht="15" customHeight="1" x14ac:dyDescent="0.25">
      <c r="A34" s="194" t="s">
        <v>212</v>
      </c>
    </row>
    <row r="35" spans="1:11" ht="15" customHeight="1" x14ac:dyDescent="0.25"/>
    <row r="36" spans="1:11" ht="15" customHeight="1" x14ac:dyDescent="0.25">
      <c r="A36" s="212" t="s">
        <v>126</v>
      </c>
      <c r="B36" s="9" t="s">
        <v>213</v>
      </c>
      <c r="D36" s="213"/>
      <c r="F36" s="208"/>
      <c r="G36" s="208"/>
      <c r="H36" s="208"/>
      <c r="I36" s="208"/>
      <c r="J36" s="208"/>
    </row>
    <row r="37" spans="1:11" ht="15" customHeight="1" x14ac:dyDescent="0.25">
      <c r="A37" s="212"/>
      <c r="D37" s="213"/>
      <c r="F37" s="208"/>
      <c r="G37" s="208"/>
      <c r="H37" s="208"/>
      <c r="I37" s="208"/>
      <c r="J37" s="208"/>
    </row>
    <row r="38" spans="1:11" ht="15" customHeight="1" x14ac:dyDescent="0.25">
      <c r="A38" s="212"/>
      <c r="B38" s="9" t="s">
        <v>214</v>
      </c>
      <c r="D38" s="194">
        <f>C14-C16</f>
        <v>16</v>
      </c>
      <c r="E38" s="194" t="s">
        <v>1</v>
      </c>
      <c r="F38"/>
      <c r="G38" s="208"/>
      <c r="H38" s="210"/>
      <c r="I38" s="194"/>
      <c r="J38" s="194"/>
    </row>
    <row r="39" spans="1:11" ht="15" customHeight="1" x14ac:dyDescent="0.25">
      <c r="A39" s="212"/>
      <c r="D39" s="210"/>
      <c r="E39" s="194"/>
      <c r="F39" s="194"/>
      <c r="G39" s="208"/>
      <c r="H39" s="210"/>
      <c r="I39" s="194"/>
      <c r="J39" s="194"/>
    </row>
    <row r="40" spans="1:11" ht="15" customHeight="1" x14ac:dyDescent="0.25">
      <c r="A40" s="212" t="s">
        <v>140</v>
      </c>
      <c r="B40" s="9" t="s">
        <v>215</v>
      </c>
      <c r="D40" s="213"/>
      <c r="F40" s="208"/>
      <c r="G40" s="208"/>
      <c r="H40" s="210"/>
      <c r="I40" s="194"/>
      <c r="J40" s="194"/>
    </row>
    <row r="41" spans="1:11" ht="15" customHeight="1" x14ac:dyDescent="0.25">
      <c r="A41" s="212"/>
      <c r="D41" s="213"/>
      <c r="F41" s="208"/>
      <c r="G41" s="208"/>
      <c r="H41" s="210"/>
      <c r="I41" s="194"/>
      <c r="J41" s="194"/>
    </row>
    <row r="42" spans="1:11" ht="15" customHeight="1" x14ac:dyDescent="0.25">
      <c r="A42" s="212"/>
      <c r="B42" s="9" t="s">
        <v>216</v>
      </c>
      <c r="D42" s="194">
        <f>C15-C16</f>
        <v>16</v>
      </c>
      <c r="E42" s="194" t="s">
        <v>1</v>
      </c>
      <c r="F42"/>
      <c r="G42" s="208"/>
      <c r="H42" s="210"/>
      <c r="I42" s="194"/>
      <c r="J42" s="194"/>
    </row>
    <row r="43" spans="1:11" ht="15" customHeight="1" x14ac:dyDescent="0.25">
      <c r="A43" s="212"/>
      <c r="D43" s="210"/>
      <c r="E43" s="194"/>
      <c r="F43" s="194"/>
      <c r="G43" s="208"/>
      <c r="H43" s="210"/>
      <c r="I43" s="194"/>
      <c r="J43" s="194"/>
    </row>
    <row r="44" spans="1:11" ht="15" customHeight="1" x14ac:dyDescent="0.25">
      <c r="A44" s="212" t="s">
        <v>150</v>
      </c>
      <c r="B44" s="210" t="s">
        <v>4</v>
      </c>
      <c r="C44" s="212"/>
      <c r="E44" s="29"/>
      <c r="F44" s="208"/>
      <c r="G44" s="208"/>
      <c r="H44" s="208"/>
      <c r="I44" s="208"/>
      <c r="J44" s="208"/>
    </row>
    <row r="45" spans="1:11" ht="15" customHeight="1" x14ac:dyDescent="0.25">
      <c r="A45" s="212"/>
      <c r="B45" s="210"/>
      <c r="C45" s="212"/>
      <c r="E45" s="29"/>
      <c r="F45" s="208"/>
      <c r="G45" s="208"/>
      <c r="H45" s="208"/>
      <c r="I45" s="208"/>
      <c r="J45" s="208"/>
    </row>
    <row r="46" spans="1:11" ht="15" customHeight="1" x14ac:dyDescent="0.25">
      <c r="A46" s="212"/>
      <c r="B46" s="29"/>
      <c r="C46" s="201"/>
      <c r="D46" s="183">
        <f>ROUND(C18*D38/100,2)</f>
        <v>0.48</v>
      </c>
      <c r="E46" s="194" t="s">
        <v>1</v>
      </c>
      <c r="F46" s="201"/>
      <c r="G46" s="201"/>
      <c r="H46" s="208"/>
      <c r="I46" s="214"/>
      <c r="J46" s="194"/>
    </row>
    <row r="47" spans="1:11" ht="15" customHeight="1" x14ac:dyDescent="0.25">
      <c r="A47" s="212"/>
      <c r="B47" s="29"/>
      <c r="C47" s="212"/>
      <c r="E47" s="183"/>
      <c r="F47" s="194"/>
      <c r="G47" s="201"/>
      <c r="H47" s="208"/>
      <c r="I47" s="214"/>
      <c r="J47" s="194"/>
    </row>
    <row r="48" spans="1:11" ht="15" customHeight="1" x14ac:dyDescent="0.25">
      <c r="A48" s="215" t="s">
        <v>217</v>
      </c>
      <c r="B48" s="9" t="s">
        <v>218</v>
      </c>
      <c r="E48" s="208"/>
      <c r="F48" s="208"/>
      <c r="G48" s="208"/>
      <c r="H48" s="208"/>
      <c r="I48" s="208"/>
      <c r="J48" s="208"/>
      <c r="K48" s="208"/>
    </row>
    <row r="49" spans="1:11" ht="15" customHeight="1" x14ac:dyDescent="0.25">
      <c r="A49" s="215"/>
      <c r="E49" s="208"/>
      <c r="F49" s="208"/>
      <c r="G49" s="208"/>
      <c r="H49" s="208"/>
      <c r="I49" s="208"/>
      <c r="J49" s="208"/>
      <c r="K49" s="208"/>
    </row>
    <row r="50" spans="1:11" ht="15" customHeight="1" x14ac:dyDescent="0.25">
      <c r="A50" s="215"/>
      <c r="B50" s="9" t="s">
        <v>219</v>
      </c>
      <c r="D50" s="216">
        <f>D38-D46</f>
        <v>15.52</v>
      </c>
      <c r="E50" s="194" t="s">
        <v>1</v>
      </c>
      <c r="F50" s="217"/>
      <c r="G50" s="201"/>
      <c r="H50" s="208"/>
      <c r="I50" s="29"/>
      <c r="J50" s="194"/>
      <c r="K50" s="194"/>
    </row>
    <row r="51" spans="1:11" ht="15" customHeight="1" x14ac:dyDescent="0.25">
      <c r="A51" s="215"/>
      <c r="D51" s="194"/>
      <c r="E51" s="194"/>
      <c r="F51" s="201"/>
      <c r="G51" s="201"/>
      <c r="H51" s="208"/>
      <c r="I51" s="29"/>
      <c r="J51" s="194"/>
      <c r="K51" s="194"/>
    </row>
    <row r="52" spans="1:11" ht="15" customHeight="1" x14ac:dyDescent="0.25">
      <c r="A52" s="215" t="s">
        <v>220</v>
      </c>
      <c r="B52" s="9" t="s">
        <v>221</v>
      </c>
      <c r="E52" s="208"/>
      <c r="F52" s="208"/>
      <c r="G52" s="208"/>
      <c r="H52" s="208"/>
      <c r="I52" s="208"/>
      <c r="J52" s="208"/>
      <c r="K52" s="208"/>
    </row>
    <row r="53" spans="1:11" ht="15" customHeight="1" x14ac:dyDescent="0.25">
      <c r="A53" s="215"/>
      <c r="E53" s="208"/>
      <c r="F53" s="208"/>
      <c r="G53" s="208"/>
      <c r="H53" s="208"/>
      <c r="I53" s="208"/>
      <c r="J53" s="208"/>
      <c r="K53" s="208"/>
    </row>
    <row r="54" spans="1:11" ht="15" customHeight="1" x14ac:dyDescent="0.25">
      <c r="A54" s="212"/>
      <c r="B54" s="9" t="s">
        <v>222</v>
      </c>
      <c r="D54" s="194">
        <f>D42-D46</f>
        <v>15.52</v>
      </c>
      <c r="E54" s="194" t="s">
        <v>1</v>
      </c>
      <c r="F54" s="201"/>
      <c r="G54" s="201"/>
      <c r="H54" s="208"/>
      <c r="J54" s="194"/>
    </row>
    <row r="55" spans="1:11" ht="15" customHeight="1" x14ac:dyDescent="0.25">
      <c r="A55" s="212"/>
      <c r="D55" s="194"/>
      <c r="E55" s="194"/>
      <c r="F55" s="201"/>
      <c r="G55" s="201"/>
      <c r="H55" s="208"/>
      <c r="J55" s="194"/>
    </row>
    <row r="56" spans="1:11" ht="15" customHeight="1" x14ac:dyDescent="0.25">
      <c r="A56" s="212"/>
      <c r="D56" s="194"/>
      <c r="E56" s="194"/>
      <c r="F56" s="201"/>
      <c r="G56" s="201"/>
      <c r="H56" s="208"/>
      <c r="J56" s="194"/>
    </row>
    <row r="57" spans="1:11" ht="15" customHeight="1" x14ac:dyDescent="0.25">
      <c r="A57" s="194" t="s">
        <v>420</v>
      </c>
      <c r="D57" s="194"/>
      <c r="E57" s="194"/>
      <c r="F57" s="201"/>
      <c r="G57" s="201"/>
      <c r="H57" s="208"/>
      <c r="J57" s="194"/>
    </row>
    <row r="58" spans="1:11" ht="15" customHeight="1" x14ac:dyDescent="0.25">
      <c r="A58" s="212"/>
      <c r="D58" s="194"/>
      <c r="E58" s="194"/>
      <c r="F58" s="201"/>
      <c r="G58" s="201"/>
      <c r="H58" s="208"/>
      <c r="J58" s="194"/>
    </row>
    <row r="59" spans="1:11" ht="15" customHeight="1" x14ac:dyDescent="0.25">
      <c r="A59" s="212" t="s">
        <v>126</v>
      </c>
      <c r="B59" s="211" t="s">
        <v>223</v>
      </c>
      <c r="F59" s="208"/>
    </row>
    <row r="60" spans="1:11" ht="15" customHeight="1" x14ac:dyDescent="0.25">
      <c r="A60" s="212"/>
    </row>
    <row r="61" spans="1:11" ht="15" customHeight="1" x14ac:dyDescent="0.25">
      <c r="A61" s="212"/>
      <c r="B61" s="208"/>
      <c r="D61" s="218">
        <f>ROUND(1000*C12/C20,-2)</f>
        <v>10300</v>
      </c>
      <c r="E61" s="194" t="s">
        <v>224</v>
      </c>
      <c r="G61" s="219"/>
      <c r="H61" s="208"/>
      <c r="I61" s="208"/>
    </row>
    <row r="62" spans="1:11" ht="15" customHeight="1" x14ac:dyDescent="0.25">
      <c r="A62"/>
      <c r="D62" s="29"/>
      <c r="F62" s="29"/>
    </row>
    <row r="63" spans="1:11" ht="15" customHeight="1" x14ac:dyDescent="0.25">
      <c r="A63" s="215" t="s">
        <v>140</v>
      </c>
      <c r="B63" s="211" t="s">
        <v>225</v>
      </c>
    </row>
    <row r="64" spans="1:11" ht="15" customHeight="1" x14ac:dyDescent="0.25">
      <c r="A64"/>
    </row>
    <row r="65" spans="1:10" ht="15" customHeight="1" x14ac:dyDescent="0.25">
      <c r="A65" s="215"/>
      <c r="B65" s="208"/>
      <c r="D65" s="201"/>
      <c r="E65" s="29"/>
      <c r="F65" s="219"/>
    </row>
    <row r="66" spans="1:10" ht="15" customHeight="1" x14ac:dyDescent="0.25">
      <c r="A66"/>
    </row>
    <row r="67" spans="1:10" ht="15" customHeight="1" x14ac:dyDescent="0.25">
      <c r="B67" s="9" t="s">
        <v>421</v>
      </c>
    </row>
    <row r="68" spans="1:10" ht="15" customHeight="1" x14ac:dyDescent="0.25"/>
    <row r="69" spans="1:10" ht="15" customHeight="1" x14ac:dyDescent="0.25"/>
    <row r="70" spans="1:10" ht="15" customHeight="1" x14ac:dyDescent="0.25"/>
    <row r="71" spans="1:10" ht="15" customHeight="1" x14ac:dyDescent="0.25"/>
    <row r="72" spans="1:10" ht="15" customHeight="1" x14ac:dyDescent="0.25"/>
    <row r="73" spans="1:10" ht="15" customHeight="1" x14ac:dyDescent="0.25"/>
    <row r="74" spans="1:10" ht="15" customHeight="1" x14ac:dyDescent="0.25">
      <c r="B74" s="201"/>
      <c r="D74" s="212" t="s">
        <v>230</v>
      </c>
      <c r="E74" s="9">
        <f>D50</f>
        <v>15.52</v>
      </c>
      <c r="F74" s="9" t="s">
        <v>422</v>
      </c>
      <c r="G74" s="212" t="s">
        <v>226</v>
      </c>
      <c r="H74" s="220">
        <f>IF(AND(E74&gt;=4,E74&lt;5.5),0.3516*E74^2.5465,IF(AND(E74&gt;=5.5,E74&lt;15.5),4.52*E74^1.0484,IF(AND(E74&gt;=15.5,E74&lt;=23),80,"Fora da faixa de variacao! ERRO!")))</f>
        <v>80</v>
      </c>
      <c r="I74" s="221" t="s">
        <v>2</v>
      </c>
    </row>
    <row r="75" spans="1:10" ht="15" customHeight="1" x14ac:dyDescent="0.25"/>
    <row r="76" spans="1:10" ht="15" customHeight="1" x14ac:dyDescent="0.2">
      <c r="B76" s="157" t="s">
        <v>423</v>
      </c>
      <c r="D76" s="201"/>
      <c r="E76" s="201"/>
      <c r="G76" s="222">
        <f>INT($D$61/($H$74*1000)+0.999)</f>
        <v>1</v>
      </c>
    </row>
    <row r="77" spans="1:10" ht="15" customHeight="1" x14ac:dyDescent="0.2">
      <c r="B77" s="158" t="s">
        <v>227</v>
      </c>
    </row>
    <row r="78" spans="1:10" ht="15" customHeight="1" x14ac:dyDescent="0.25">
      <c r="B78" s="201"/>
      <c r="C78" s="9" t="s">
        <v>66</v>
      </c>
      <c r="D78" s="212" t="s">
        <v>392</v>
      </c>
      <c r="E78" s="223">
        <f>IF(G76&lt;2,2,G76)</f>
        <v>2</v>
      </c>
      <c r="F78" s="211" t="s">
        <v>15</v>
      </c>
      <c r="G78" s="9" t="s">
        <v>228</v>
      </c>
      <c r="H78" s="208"/>
      <c r="I78" s="208"/>
      <c r="J78" s="208"/>
    </row>
    <row r="79" spans="1:10" ht="15" customHeight="1" x14ac:dyDescent="0.2">
      <c r="B79" s="160" t="str">
        <f>IF(C13&lt;E78,"      Como a condição acima não foi verificada, o novo Ng =","      Como a condição acima foi verificada, manteve-se   Ng =")</f>
        <v xml:space="preserve">      Como a condição acima não foi verificada, o novo Ng =</v>
      </c>
      <c r="C79" s="224"/>
      <c r="D79" s="224"/>
      <c r="E79" s="161"/>
      <c r="F79" s="225">
        <f>IF($C$13=0,$E$78,IF(C13&lt;E78,E78,C13))</f>
        <v>2</v>
      </c>
      <c r="G79" s="194" t="s">
        <v>15</v>
      </c>
    </row>
    <row r="80" spans="1:10" ht="15" customHeight="1" x14ac:dyDescent="0.25"/>
    <row r="81" spans="1:9" ht="15" customHeight="1" x14ac:dyDescent="0.25">
      <c r="A81" s="215" t="s">
        <v>150</v>
      </c>
      <c r="B81" s="211" t="s">
        <v>229</v>
      </c>
    </row>
    <row r="82" spans="1:9" ht="15" customHeight="1" x14ac:dyDescent="0.25"/>
    <row r="83" spans="1:9" ht="15" customHeight="1" x14ac:dyDescent="0.25">
      <c r="C83" s="226"/>
    </row>
    <row r="84" spans="1:9" ht="15" customHeight="1" x14ac:dyDescent="0.25"/>
    <row r="85" spans="1:9" ht="15" customHeight="1" x14ac:dyDescent="0.25">
      <c r="B85" s="9" t="s">
        <v>424</v>
      </c>
    </row>
    <row r="86" spans="1:9" ht="15" customHeight="1" x14ac:dyDescent="0.25"/>
    <row r="87" spans="1:9" ht="15" customHeight="1" x14ac:dyDescent="0.25"/>
    <row r="88" spans="1:9" ht="15" customHeight="1" x14ac:dyDescent="0.25"/>
    <row r="89" spans="1:9" ht="15" customHeight="1" x14ac:dyDescent="0.25">
      <c r="B89" s="201"/>
      <c r="D89" s="212" t="s">
        <v>230</v>
      </c>
      <c r="E89" s="9">
        <f>D50</f>
        <v>15.52</v>
      </c>
      <c r="F89" s="9" t="s">
        <v>422</v>
      </c>
      <c r="G89" s="212" t="s">
        <v>231</v>
      </c>
      <c r="H89" s="227">
        <f>IF(AND(E89&gt;=4,E89&lt;=23),5,"Fora da faixa de variacao! ERRO!")</f>
        <v>5</v>
      </c>
      <c r="I89" s="221" t="s">
        <v>2</v>
      </c>
    </row>
    <row r="90" spans="1:9" ht="15" customHeight="1" x14ac:dyDescent="0.2">
      <c r="B90" s="158" t="str">
        <f>IF((C12/F79)&lt;C20*H89,"Como a condição acima não foi verificada, o novo Ng =","Como a condição acima foi verificada, manteve-se        Ng =")</f>
        <v>Como a condição acima foi verificada, manteve-se        Ng =</v>
      </c>
      <c r="F90" s="162">
        <f>IF((C12/F79)&lt;C20*H89,INT(C12/H89),F79)</f>
        <v>2</v>
      </c>
      <c r="G90" s="163" t="s">
        <v>15</v>
      </c>
    </row>
    <row r="91" spans="1:9" ht="15" customHeight="1" x14ac:dyDescent="0.2">
      <c r="B91" s="159"/>
      <c r="F91" s="228"/>
      <c r="I91" s="229"/>
    </row>
    <row r="92" spans="1:9" ht="15" customHeight="1" x14ac:dyDescent="0.25">
      <c r="B92" s="210" t="s">
        <v>232</v>
      </c>
      <c r="D92" s="201"/>
      <c r="E92"/>
      <c r="F92" s="212" t="s">
        <v>425</v>
      </c>
      <c r="G92" s="230">
        <f>IF((C12/F90)&lt;C20*H89,H89,C12/F90)</f>
        <v>5</v>
      </c>
      <c r="H92" s="231" t="s">
        <v>2</v>
      </c>
    </row>
    <row r="93" spans="1:9" ht="15" customHeight="1" x14ac:dyDescent="0.25"/>
    <row r="94" spans="1:9" ht="15" customHeight="1" x14ac:dyDescent="0.25">
      <c r="A94" s="215" t="s">
        <v>217</v>
      </c>
      <c r="B94" s="211" t="s">
        <v>233</v>
      </c>
    </row>
    <row r="95" spans="1:9" ht="15" customHeight="1" x14ac:dyDescent="0.25">
      <c r="F95" s="9" t="s">
        <v>301</v>
      </c>
      <c r="G95" s="232" t="s">
        <v>234</v>
      </c>
      <c r="H95" s="233" t="s">
        <v>235</v>
      </c>
    </row>
    <row r="96" spans="1:9" ht="15" customHeight="1" x14ac:dyDescent="0.25">
      <c r="D96" s="221">
        <f>H99*INT(G92/H99+0.5)</f>
        <v>5</v>
      </c>
      <c r="E96" s="221" t="s">
        <v>2</v>
      </c>
      <c r="G96" s="29">
        <v>0.1</v>
      </c>
    </row>
    <row r="97" spans="1:8" ht="15.75" customHeight="1" x14ac:dyDescent="0.25">
      <c r="G97" s="29">
        <v>0.5</v>
      </c>
    </row>
    <row r="98" spans="1:8" ht="15" customHeight="1" x14ac:dyDescent="0.25">
      <c r="G98" s="232">
        <v>1</v>
      </c>
      <c r="H98" s="233"/>
    </row>
    <row r="99" spans="1:8" ht="15" customHeight="1" x14ac:dyDescent="0.25">
      <c r="F99"/>
      <c r="G99" s="212" t="s">
        <v>426</v>
      </c>
      <c r="H99" s="210">
        <f>IF(G92&lt;=10,0.1,IF(AND(G92&gt;10,G92&lt;=80),0.5,IF(G92&gt;80,1)))</f>
        <v>0.1</v>
      </c>
    </row>
    <row r="100" spans="1:8" ht="15" customHeight="1" x14ac:dyDescent="0.25">
      <c r="A100" s="215" t="s">
        <v>220</v>
      </c>
      <c r="B100" s="211" t="s">
        <v>236</v>
      </c>
    </row>
    <row r="101" spans="1:8" ht="15" customHeight="1" x14ac:dyDescent="0.25">
      <c r="C101" s="234">
        <f>D96*F90</f>
        <v>10</v>
      </c>
      <c r="D101" s="221" t="s">
        <v>2</v>
      </c>
    </row>
    <row r="102" spans="1:8" ht="15" customHeight="1" x14ac:dyDescent="0.25"/>
    <row r="103" spans="1:8" ht="15" customHeight="1" x14ac:dyDescent="0.25">
      <c r="A103" s="215" t="s">
        <v>237</v>
      </c>
      <c r="B103" s="211" t="s">
        <v>238</v>
      </c>
    </row>
    <row r="104" spans="1:8" ht="15" customHeight="1" x14ac:dyDescent="0.25"/>
    <row r="105" spans="1:8" ht="15" customHeight="1" x14ac:dyDescent="0.25">
      <c r="B105" s="208"/>
      <c r="D105" s="235">
        <f>ROUND(1000*D96/C20,0)</f>
        <v>5155</v>
      </c>
      <c r="E105" s="227" t="s">
        <v>224</v>
      </c>
      <c r="F105" s="201"/>
      <c r="G105" s="219"/>
    </row>
    <row r="106" spans="1:8" ht="15" customHeight="1" x14ac:dyDescent="0.25"/>
    <row r="107" spans="1:8" ht="15" customHeight="1" x14ac:dyDescent="0.25"/>
    <row r="108" spans="1:8" ht="15" customHeight="1" x14ac:dyDescent="0.25">
      <c r="A108" s="194" t="s">
        <v>239</v>
      </c>
    </row>
    <row r="109" spans="1:8" ht="15" customHeight="1" x14ac:dyDescent="0.25"/>
    <row r="110" spans="1:8" ht="15" customHeight="1" x14ac:dyDescent="0.25">
      <c r="A110" s="212" t="s">
        <v>126</v>
      </c>
      <c r="B110" s="9" t="s">
        <v>240</v>
      </c>
    </row>
    <row r="111" spans="1:8" ht="15" customHeight="1" x14ac:dyDescent="0.25">
      <c r="A111" s="212"/>
    </row>
    <row r="112" spans="1:8" ht="15" customHeight="1" x14ac:dyDescent="0.5">
      <c r="A112" s="212"/>
      <c r="B112" s="164" t="s">
        <v>242</v>
      </c>
    </row>
    <row r="113" spans="1:11" ht="15" customHeight="1" x14ac:dyDescent="0.25">
      <c r="B113" s="208"/>
      <c r="D113" s="201"/>
      <c r="E113" s="201"/>
      <c r="F113" s="219"/>
    </row>
    <row r="114" spans="1:11" ht="15" customHeight="1" x14ac:dyDescent="0.25">
      <c r="B114" s="208"/>
      <c r="D114"/>
      <c r="E114" s="194">
        <f>IF(AND(D50&gt;=3.4,D50&lt;=22.7),1.05*D50^2-61*D50+1405,"Fora da validade da curva! ERRO!")</f>
        <v>711.19391999999993</v>
      </c>
      <c r="F114" s="219"/>
    </row>
    <row r="115" spans="1:11" s="208" customFormat="1" ht="15" customHeight="1" x14ac:dyDescent="0.25">
      <c r="A115" s="9"/>
      <c r="C115" s="9"/>
      <c r="G115" s="9"/>
      <c r="H115" s="9"/>
      <c r="I115" s="9"/>
      <c r="J115" s="9"/>
      <c r="K115" s="9"/>
    </row>
    <row r="116" spans="1:11" ht="15" customHeight="1" x14ac:dyDescent="0.5">
      <c r="A116" s="212"/>
      <c r="B116" s="164" t="s">
        <v>243</v>
      </c>
    </row>
    <row r="117" spans="1:11" ht="15" customHeight="1" x14ac:dyDescent="0.25">
      <c r="D117" s="194">
        <f>E114*D50^1.25*D105^(-0.5)</f>
        <v>305.1324151575887</v>
      </c>
      <c r="E117" s="236" t="s">
        <v>244</v>
      </c>
    </row>
    <row r="118" spans="1:11" ht="15" customHeight="1" x14ac:dyDescent="0.25">
      <c r="B118" s="208"/>
      <c r="E118" s="201"/>
      <c r="F118" s="29"/>
      <c r="G118" s="219"/>
    </row>
    <row r="119" spans="1:11" ht="15" customHeight="1" x14ac:dyDescent="0.5">
      <c r="A119" s="212"/>
      <c r="B119" s="164" t="s">
        <v>245</v>
      </c>
      <c r="G119" s="208"/>
      <c r="H119" s="208"/>
      <c r="I119" s="208"/>
      <c r="J119" s="208"/>
    </row>
    <row r="120" spans="1:11" ht="15" customHeight="1" x14ac:dyDescent="0.25">
      <c r="A120" s="212"/>
      <c r="G120" s="208"/>
      <c r="H120" s="208"/>
      <c r="I120" s="208"/>
      <c r="J120" s="208"/>
    </row>
    <row r="121" spans="1:11" ht="15" customHeight="1" x14ac:dyDescent="0.25">
      <c r="A121" s="212"/>
      <c r="G121" s="208"/>
      <c r="H121" s="208"/>
      <c r="I121" s="208"/>
      <c r="J121" s="208"/>
    </row>
    <row r="122" spans="1:11" ht="15" customHeight="1" x14ac:dyDescent="0.25">
      <c r="A122" s="212"/>
      <c r="G122" s="208"/>
      <c r="H122" s="208"/>
      <c r="I122" s="208"/>
      <c r="J122" s="208"/>
    </row>
    <row r="123" spans="1:11" ht="15" customHeight="1" x14ac:dyDescent="0.25">
      <c r="A123" s="212"/>
      <c r="G123" s="208"/>
      <c r="H123" s="208"/>
      <c r="I123" s="208"/>
      <c r="J123" s="208"/>
    </row>
    <row r="124" spans="1:11" ht="15" customHeight="1" x14ac:dyDescent="0.25">
      <c r="A124" s="212"/>
      <c r="G124" s="208"/>
      <c r="H124" s="208"/>
      <c r="I124" s="208"/>
      <c r="J124" s="208"/>
    </row>
    <row r="125" spans="1:11" ht="15" customHeight="1" x14ac:dyDescent="0.25">
      <c r="A125" s="212"/>
      <c r="B125" s="201"/>
      <c r="D125" s="212" t="s">
        <v>427</v>
      </c>
      <c r="E125" s="9">
        <f>C22</f>
        <v>60</v>
      </c>
      <c r="F125" s="210" t="s">
        <v>428</v>
      </c>
      <c r="G125" s="208"/>
      <c r="H125" s="208"/>
      <c r="I125" s="208"/>
      <c r="J125" s="208"/>
    </row>
    <row r="126" spans="1:11" ht="15" customHeight="1" x14ac:dyDescent="0.25">
      <c r="A126" s="212"/>
      <c r="D126" s="212" t="s">
        <v>429</v>
      </c>
      <c r="E126" s="9">
        <f>D117</f>
        <v>305.1324151575887</v>
      </c>
      <c r="F126" s="9" t="s">
        <v>430</v>
      </c>
      <c r="G126" s="208"/>
      <c r="H126" s="208"/>
      <c r="I126" s="208"/>
      <c r="J126" s="208"/>
    </row>
    <row r="127" spans="1:11" ht="15" customHeight="1" x14ac:dyDescent="0.25">
      <c r="A127" s="212"/>
      <c r="B127" s="212" t="s">
        <v>246</v>
      </c>
      <c r="C127" s="220">
        <f>IF(D117&gt;=1.2*E125,2*INT(120*E125/D117*(1/2)+0.999),IF(D117&lt;1.2*E125,4*INT(120*E125/D117*(1/4)+0.999)))</f>
        <v>24</v>
      </c>
      <c r="D127" s="220" t="s">
        <v>247</v>
      </c>
      <c r="G127" s="208"/>
      <c r="H127" s="208"/>
      <c r="I127" s="208"/>
      <c r="J127" s="208"/>
    </row>
    <row r="128" spans="1:11" ht="15" customHeight="1" x14ac:dyDescent="0.25">
      <c r="A128" s="212"/>
      <c r="B128" s="212"/>
      <c r="C128" s="220"/>
      <c r="D128" s="220"/>
      <c r="G128" s="208"/>
      <c r="H128" s="208"/>
      <c r="I128" s="208"/>
      <c r="J128" s="208"/>
    </row>
    <row r="129" spans="1:9" ht="15" customHeight="1" x14ac:dyDescent="0.5">
      <c r="A129" s="212"/>
      <c r="B129" s="164" t="s">
        <v>248</v>
      </c>
    </row>
    <row r="130" spans="1:9" ht="15" customHeight="1" x14ac:dyDescent="0.25">
      <c r="B130" s="208"/>
      <c r="D130" s="201"/>
      <c r="E130" s="201"/>
      <c r="F130" s="219"/>
      <c r="G130" s="219"/>
      <c r="H130" s="208"/>
    </row>
    <row r="131" spans="1:9" ht="15" customHeight="1" x14ac:dyDescent="0.25">
      <c r="C131"/>
      <c r="D131" s="237">
        <f>120*C22/C127</f>
        <v>300</v>
      </c>
      <c r="E131" s="194" t="s">
        <v>244</v>
      </c>
      <c r="G131" s="208"/>
      <c r="H131" s="208"/>
      <c r="I131" s="208"/>
    </row>
    <row r="132" spans="1:9" ht="15" customHeight="1" x14ac:dyDescent="0.25">
      <c r="D132" s="219"/>
      <c r="E132" s="219"/>
      <c r="G132" s="208"/>
      <c r="H132" s="208"/>
      <c r="I132" s="208"/>
    </row>
    <row r="133" spans="1:9" ht="15" customHeight="1" x14ac:dyDescent="0.5">
      <c r="A133" s="212"/>
      <c r="B133" s="164" t="s">
        <v>249</v>
      </c>
    </row>
    <row r="134" spans="1:9" ht="15" customHeight="1" x14ac:dyDescent="0.25">
      <c r="B134" s="208"/>
      <c r="D134" s="194">
        <f>D131*D50^(-1.25)*D105^(0.5)</f>
        <v>699.23143331005667</v>
      </c>
      <c r="E134" s="201"/>
      <c r="F134" s="219"/>
      <c r="G134" s="208"/>
      <c r="H134" s="194"/>
    </row>
    <row r="135" spans="1:9" ht="15" customHeight="1" x14ac:dyDescent="0.25">
      <c r="G135" s="208"/>
      <c r="H135" s="208"/>
      <c r="I135" s="208"/>
    </row>
    <row r="136" spans="1:9" ht="15" customHeight="1" x14ac:dyDescent="0.2">
      <c r="A136" s="5" t="s">
        <v>140</v>
      </c>
      <c r="B136" s="8" t="s">
        <v>250</v>
      </c>
      <c r="G136" s="208"/>
      <c r="H136" s="208"/>
      <c r="I136" s="208"/>
    </row>
    <row r="137" spans="1:9" ht="15" customHeight="1" x14ac:dyDescent="0.25">
      <c r="G137" s="208"/>
      <c r="H137" s="208"/>
      <c r="I137" s="208"/>
    </row>
    <row r="138" spans="1:9" ht="15" customHeight="1" x14ac:dyDescent="0.5">
      <c r="A138" s="212"/>
      <c r="B138" s="164" t="s">
        <v>251</v>
      </c>
    </row>
    <row r="139" spans="1:9" ht="15" customHeight="1" x14ac:dyDescent="0.5">
      <c r="A139" s="212"/>
      <c r="B139" s="164"/>
    </row>
    <row r="140" spans="1:9" ht="15" customHeight="1" x14ac:dyDescent="0.25">
      <c r="B140" s="208"/>
      <c r="C140" s="208"/>
      <c r="E140" s="238">
        <f>IF(AND(D134&gt;=550,D134&lt;=1250),0.0823*D134^0.4788,"Velocidade especifica fora da validade do grafico B09.")</f>
        <v>1.8941062751924673</v>
      </c>
      <c r="F140" s="201"/>
      <c r="G140" s="208"/>
    </row>
    <row r="141" spans="1:9" ht="15" customHeight="1" x14ac:dyDescent="0.25">
      <c r="B141" s="29"/>
      <c r="F141" s="208"/>
      <c r="G141" s="208"/>
    </row>
    <row r="142" spans="1:9" ht="15" customHeight="1" x14ac:dyDescent="0.5">
      <c r="A142" s="212"/>
      <c r="B142" s="164" t="s">
        <v>252</v>
      </c>
    </row>
    <row r="143" spans="1:9" ht="15" customHeight="1" x14ac:dyDescent="0.25">
      <c r="E143" s="208"/>
      <c r="F143" s="208"/>
      <c r="G143" s="208"/>
    </row>
    <row r="144" spans="1:9" ht="15" customHeight="1" x14ac:dyDescent="0.25">
      <c r="D144" s="201"/>
      <c r="E144"/>
      <c r="F144" s="194">
        <f>0.01*INT(84.5*E140*(D50^0.5/D131)*(1/0.01)+0.5)</f>
        <v>2.1</v>
      </c>
      <c r="G144" s="194" t="s">
        <v>1</v>
      </c>
      <c r="H144" s="208"/>
    </row>
    <row r="145" spans="1:9" ht="15" customHeight="1" x14ac:dyDescent="0.25">
      <c r="E145" s="208"/>
      <c r="F145" s="208"/>
      <c r="G145" s="208"/>
      <c r="H145" s="208"/>
    </row>
    <row r="146" spans="1:9" ht="15" customHeight="1" x14ac:dyDescent="0.5">
      <c r="A146" s="212"/>
      <c r="B146" s="164" t="s">
        <v>253</v>
      </c>
    </row>
    <row r="147" spans="1:9" ht="15" customHeight="1" x14ac:dyDescent="0.25">
      <c r="A147" s="212"/>
    </row>
    <row r="148" spans="1:9" ht="15" customHeight="1" x14ac:dyDescent="0.25">
      <c r="A148" s="212"/>
      <c r="D148" s="221">
        <f>E151-E153*D50</f>
        <v>-11.200851457402276</v>
      </c>
      <c r="E148" s="221" t="s">
        <v>1</v>
      </c>
    </row>
    <row r="149" spans="1:9" ht="15" customHeight="1" x14ac:dyDescent="0.25">
      <c r="A149" s="212"/>
    </row>
    <row r="150" spans="1:9" ht="15" customHeight="1" x14ac:dyDescent="0.25">
      <c r="A150" s="212"/>
      <c r="B150" s="9" t="s">
        <v>301</v>
      </c>
    </row>
    <row r="151" spans="1:9" ht="15" customHeight="1" x14ac:dyDescent="0.25">
      <c r="A151" s="212"/>
      <c r="D151"/>
      <c r="E151" s="9">
        <f>10.33-0.0012*C16-0.013*C21</f>
        <v>9.3990000000000009</v>
      </c>
      <c r="F151" s="9" t="s">
        <v>1</v>
      </c>
    </row>
    <row r="152" spans="1:9" ht="15" customHeight="1" x14ac:dyDescent="0.25">
      <c r="A152" s="212"/>
      <c r="G152" s="201"/>
    </row>
    <row r="153" spans="1:9" ht="15" customHeight="1" x14ac:dyDescent="0.25">
      <c r="A153" s="212"/>
      <c r="E153" s="193">
        <f>0.0035*D134-1.12</f>
        <v>1.3273100165851983</v>
      </c>
      <c r="F153" s="9" t="s">
        <v>254</v>
      </c>
      <c r="G153" s="201"/>
    </row>
    <row r="154" spans="1:9" ht="15" customHeight="1" x14ac:dyDescent="0.25">
      <c r="A154" s="212"/>
    </row>
    <row r="155" spans="1:9" ht="15" customHeight="1" x14ac:dyDescent="0.5">
      <c r="A155" s="212"/>
      <c r="B155" s="164" t="s">
        <v>431</v>
      </c>
      <c r="C155" s="194"/>
      <c r="D155" s="221"/>
    </row>
    <row r="156" spans="1:9" ht="15" customHeight="1" x14ac:dyDescent="0.25">
      <c r="B156" s="201"/>
      <c r="D156" s="194">
        <f>C17+D148</f>
        <v>490.79914854259772</v>
      </c>
      <c r="G156" s="201"/>
      <c r="H156" s="201"/>
    </row>
    <row r="157" spans="1:9" ht="15" customHeight="1" x14ac:dyDescent="0.25">
      <c r="B157" s="201"/>
      <c r="D157" s="194"/>
      <c r="G157" s="201"/>
      <c r="H157" s="201"/>
    </row>
    <row r="158" spans="1:9" ht="15" customHeight="1" x14ac:dyDescent="0.25"/>
    <row r="159" spans="1:9" ht="15" customHeight="1" x14ac:dyDescent="0.2">
      <c r="A159" s="45" t="s">
        <v>150</v>
      </c>
      <c r="B159" s="8" t="s">
        <v>255</v>
      </c>
      <c r="H159" s="447" t="s">
        <v>612</v>
      </c>
      <c r="I159" s="441"/>
    </row>
    <row r="160" spans="1:9" ht="15" customHeight="1" x14ac:dyDescent="0.25">
      <c r="B160" s="29"/>
      <c r="G160" s="208"/>
      <c r="H160" s="442"/>
      <c r="I160" s="442"/>
    </row>
    <row r="161" spans="2:9" ht="15" customHeight="1" x14ac:dyDescent="0.25">
      <c r="B161" s="29"/>
      <c r="D161" s="194">
        <f>F144*2.25</f>
        <v>4.7250000000000005</v>
      </c>
      <c r="E161" s="194" t="s">
        <v>1</v>
      </c>
      <c r="G161" s="208"/>
      <c r="H161" s="447" t="s">
        <v>613</v>
      </c>
    </row>
    <row r="162" spans="2:9" ht="15" customHeight="1" x14ac:dyDescent="0.25">
      <c r="B162" s="29"/>
      <c r="G162" s="208"/>
    </row>
    <row r="163" spans="2:9" ht="15" customHeight="1" x14ac:dyDescent="0.25">
      <c r="B163" s="29"/>
      <c r="D163" s="194">
        <f>F144*2</f>
        <v>4.2</v>
      </c>
      <c r="E163" s="194" t="s">
        <v>1</v>
      </c>
      <c r="F163"/>
      <c r="G163" s="208"/>
      <c r="H163" s="444" t="s">
        <v>585</v>
      </c>
      <c r="I163" s="442"/>
    </row>
    <row r="164" spans="2:9" ht="15" customHeight="1" x14ac:dyDescent="0.25">
      <c r="B164" s="29"/>
      <c r="G164" s="208"/>
      <c r="H164" s="443">
        <f>D183*((D161+7)*D167+(D161/2+3+D173/2+3)*(D169+((D175-D169)/2))+(D173+5)*((D175-D169)/2))</f>
        <v>1211.3856304200001</v>
      </c>
      <c r="I164" s="442" t="s">
        <v>54</v>
      </c>
    </row>
    <row r="165" spans="2:9" ht="15" customHeight="1" x14ac:dyDescent="0.25">
      <c r="B165" s="29"/>
      <c r="D165" s="194">
        <f>F144*1.25</f>
        <v>2.625</v>
      </c>
      <c r="E165" s="194" t="s">
        <v>1</v>
      </c>
      <c r="F165"/>
      <c r="G165" s="208"/>
      <c r="H165" s="442"/>
      <c r="I165" s="442"/>
    </row>
    <row r="166" spans="2:9" ht="15" customHeight="1" x14ac:dyDescent="0.25">
      <c r="B166" s="29"/>
      <c r="G166" s="208"/>
      <c r="H166" s="444" t="s">
        <v>586</v>
      </c>
      <c r="I166" s="442"/>
    </row>
    <row r="167" spans="2:9" ht="15" customHeight="1" x14ac:dyDescent="0.25">
      <c r="B167" s="29"/>
      <c r="D167" s="194">
        <f>F144*2.4</f>
        <v>5.04</v>
      </c>
      <c r="E167" s="194" t="s">
        <v>1</v>
      </c>
      <c r="F167"/>
      <c r="G167" s="208"/>
      <c r="H167" s="443">
        <f>(D161*D163*D167/2)+((D161*D163+PI()*F144^2/4)/2*D167/2)+((PI()*F144^2/4+D171*D173)/2*D169)+((D171*D173+D177*D173)/2*(D175-D169))</f>
        <v>183.56986819014043</v>
      </c>
      <c r="I167" s="442" t="s">
        <v>54</v>
      </c>
    </row>
    <row r="168" spans="2:9" ht="15" customHeight="1" x14ac:dyDescent="0.25">
      <c r="B168" s="29"/>
      <c r="G168" s="208"/>
    </row>
    <row r="169" spans="2:9" ht="15" customHeight="1" x14ac:dyDescent="0.25">
      <c r="B169" s="29"/>
      <c r="D169" s="221">
        <f>F144*2.87</f>
        <v>6.0270000000000001</v>
      </c>
      <c r="E169" s="221" t="s">
        <v>1</v>
      </c>
      <c r="G169" s="208"/>
      <c r="H169" s="447" t="s">
        <v>614</v>
      </c>
      <c r="I169" s="208"/>
    </row>
    <row r="170" spans="2:9" ht="15" customHeight="1" x14ac:dyDescent="0.25">
      <c r="B170" s="29"/>
      <c r="G170" s="208"/>
      <c r="H170" s="443">
        <f>(D167+D175)*3*D193</f>
        <v>528.71616000000006</v>
      </c>
      <c r="I170" s="442" t="s">
        <v>54</v>
      </c>
    </row>
    <row r="171" spans="2:9" ht="15" customHeight="1" x14ac:dyDescent="0.25">
      <c r="B171" s="29"/>
      <c r="D171" s="221">
        <f>F144*1.58</f>
        <v>3.3180000000000005</v>
      </c>
      <c r="E171" s="221" t="s">
        <v>1</v>
      </c>
      <c r="G171" s="208"/>
    </row>
    <row r="172" spans="2:9" ht="15" customHeight="1" x14ac:dyDescent="0.25">
      <c r="B172" s="29"/>
      <c r="G172" s="208"/>
      <c r="H172" s="208"/>
      <c r="I172" s="208"/>
    </row>
    <row r="173" spans="2:9" ht="15" customHeight="1" x14ac:dyDescent="0.25">
      <c r="B173" s="29"/>
      <c r="D173" s="194">
        <f>F144*1.58</f>
        <v>3.3180000000000005</v>
      </c>
      <c r="E173" s="194" t="s">
        <v>1</v>
      </c>
      <c r="G173" s="208"/>
      <c r="H173" s="208"/>
      <c r="I173" s="208"/>
    </row>
    <row r="174" spans="2:9" ht="15" customHeight="1" x14ac:dyDescent="0.25">
      <c r="B174" s="29"/>
      <c r="G174" s="208"/>
      <c r="H174" s="208"/>
      <c r="I174" s="208"/>
    </row>
    <row r="175" spans="2:9" ht="15" customHeight="1" x14ac:dyDescent="0.25">
      <c r="B175" s="29"/>
      <c r="D175" s="221">
        <f>F144*5.12</f>
        <v>10.752000000000001</v>
      </c>
      <c r="E175" s="221" t="s">
        <v>1</v>
      </c>
      <c r="G175" s="208"/>
      <c r="H175" s="208"/>
      <c r="I175" s="208"/>
    </row>
    <row r="176" spans="2:9" ht="15" customHeight="1" x14ac:dyDescent="0.25">
      <c r="B176" s="29"/>
      <c r="G176" s="208"/>
      <c r="H176" s="208"/>
      <c r="I176" s="208"/>
    </row>
    <row r="177" spans="1:11" ht="15" customHeight="1" x14ac:dyDescent="0.25">
      <c r="B177" s="239"/>
      <c r="C177" s="201"/>
      <c r="D177" s="194">
        <f>2.1*F144</f>
        <v>4.41</v>
      </c>
      <c r="E177" s="194" t="s">
        <v>1</v>
      </c>
      <c r="G177" s="208"/>
      <c r="H177" s="208"/>
      <c r="I177" s="208"/>
    </row>
    <row r="178" spans="1:11" ht="15" customHeight="1" x14ac:dyDescent="0.25">
      <c r="B178" s="29"/>
      <c r="G178" s="208"/>
      <c r="H178" s="208"/>
      <c r="I178" s="208"/>
    </row>
    <row r="179" spans="1:11" ht="15" customHeight="1" x14ac:dyDescent="0.2">
      <c r="A179" s="165" t="s">
        <v>217</v>
      </c>
      <c r="B179" s="158" t="s">
        <v>256</v>
      </c>
      <c r="C179" s="193"/>
      <c r="D179" s="240"/>
      <c r="E179" s="241"/>
      <c r="F179" s="242"/>
      <c r="G179" s="243"/>
      <c r="H179" s="243"/>
      <c r="I179" s="227"/>
      <c r="J179" s="227"/>
      <c r="K179" s="193"/>
    </row>
    <row r="180" spans="1:11" ht="15" customHeight="1" x14ac:dyDescent="0.25">
      <c r="A180" s="193"/>
      <c r="B180" s="193"/>
      <c r="C180" s="193"/>
      <c r="D180" s="240"/>
      <c r="E180" s="241"/>
      <c r="F180" s="242"/>
      <c r="G180" s="243"/>
      <c r="H180" s="243"/>
      <c r="I180" s="227"/>
      <c r="J180" s="227"/>
      <c r="K180" s="193"/>
    </row>
    <row r="181" spans="1:11" ht="15" customHeight="1" x14ac:dyDescent="0.25">
      <c r="A181" s="193"/>
      <c r="B181" s="244" t="s">
        <v>432</v>
      </c>
      <c r="C181" s="193"/>
      <c r="D181" s="240"/>
      <c r="E181" s="241"/>
      <c r="F181" s="242"/>
      <c r="G181" s="243"/>
      <c r="H181" s="243"/>
      <c r="I181" s="227"/>
      <c r="J181" s="227"/>
      <c r="K181" s="193"/>
    </row>
    <row r="182" spans="1:11" ht="15" customHeight="1" x14ac:dyDescent="0.25">
      <c r="A182" s="193"/>
      <c r="B182" s="193"/>
      <c r="C182" s="193"/>
      <c r="D182" s="240"/>
      <c r="E182" s="201"/>
      <c r="F182" s="201"/>
      <c r="G182" s="243"/>
      <c r="H182" s="243"/>
      <c r="I182" s="227"/>
      <c r="J182" s="227"/>
      <c r="K182" s="193"/>
    </row>
    <row r="183" spans="1:11" ht="15" customHeight="1" x14ac:dyDescent="0.25">
      <c r="A183" s="193"/>
      <c r="B183" s="193"/>
      <c r="C183" s="193"/>
      <c r="D183" s="245">
        <f>hsb1intake!E80</f>
        <v>7.4399999999999995</v>
      </c>
      <c r="E183" s="246" t="s">
        <v>1</v>
      </c>
      <c r="F183" s="1" t="s">
        <v>592</v>
      </c>
      <c r="G183" s="243"/>
      <c r="H183" s="243"/>
      <c r="I183" s="227"/>
      <c r="J183" s="227"/>
      <c r="K183" s="193"/>
    </row>
    <row r="184" spans="1:11" ht="15" customHeight="1" x14ac:dyDescent="0.25">
      <c r="A184" s="193"/>
      <c r="B184" s="193"/>
      <c r="C184" s="193"/>
      <c r="D184" s="240"/>
      <c r="E184" s="201"/>
      <c r="F184" s="201"/>
      <c r="G184" s="243"/>
      <c r="H184" s="243"/>
      <c r="I184" s="227"/>
      <c r="J184" s="227"/>
      <c r="K184" s="193"/>
    </row>
    <row r="185" spans="1:11" ht="15" customHeight="1" x14ac:dyDescent="0.25">
      <c r="A185" s="193"/>
      <c r="B185" s="244" t="s">
        <v>433</v>
      </c>
      <c r="C185" s="193"/>
      <c r="D185" s="240"/>
      <c r="E185" s="241"/>
      <c r="F185" s="242"/>
      <c r="G185" s="243"/>
      <c r="H185" s="243"/>
      <c r="I185" s="227"/>
      <c r="J185" s="227"/>
      <c r="K185" s="193"/>
    </row>
    <row r="186" spans="1:11" ht="15" customHeight="1" x14ac:dyDescent="0.25">
      <c r="A186" s="193"/>
      <c r="B186" s="244"/>
      <c r="C186" s="193"/>
      <c r="D186" s="240"/>
      <c r="E186" s="241"/>
      <c r="F186" s="242"/>
      <c r="G186" s="243"/>
      <c r="H186" s="243"/>
      <c r="I186" s="227"/>
      <c r="J186" s="227"/>
      <c r="K186" s="193"/>
    </row>
    <row r="187" spans="1:11" ht="15" customHeight="1" x14ac:dyDescent="0.25">
      <c r="A187" s="193"/>
      <c r="B187" s="193"/>
      <c r="C187" s="193"/>
      <c r="D187" s="240">
        <f>F90*D183+2</f>
        <v>16.88</v>
      </c>
      <c r="E187" s="241" t="s">
        <v>1</v>
      </c>
      <c r="F187" s="242"/>
      <c r="G187" s="243"/>
      <c r="H187" s="243"/>
      <c r="I187" s="227"/>
      <c r="J187" s="227"/>
      <c r="K187" s="193"/>
    </row>
    <row r="188" spans="1:11" ht="15" customHeight="1" x14ac:dyDescent="0.25">
      <c r="A188" s="193"/>
      <c r="B188" s="193"/>
      <c r="C188" s="193"/>
      <c r="D188" s="240"/>
      <c r="E188" s="241"/>
      <c r="F188" s="242"/>
      <c r="G188" s="243"/>
      <c r="H188" s="243"/>
      <c r="I188" s="227"/>
      <c r="J188" s="227"/>
      <c r="K188" s="193"/>
    </row>
    <row r="189" spans="1:11" ht="15" customHeight="1" x14ac:dyDescent="0.25">
      <c r="A189" s="193"/>
      <c r="B189" s="244" t="s">
        <v>434</v>
      </c>
      <c r="C189" s="193"/>
      <c r="D189" s="240"/>
      <c r="E189" s="241"/>
      <c r="F189" s="242"/>
      <c r="G189" s="243"/>
      <c r="H189" s="243"/>
      <c r="I189" s="227"/>
      <c r="J189" s="227"/>
      <c r="K189" s="193"/>
    </row>
    <row r="190" spans="1:11" ht="15" customHeight="1" x14ac:dyDescent="0.25">
      <c r="A190" s="193"/>
      <c r="B190" s="193"/>
      <c r="C190" s="193"/>
      <c r="D190" s="240"/>
      <c r="E190" s="241"/>
      <c r="F190" s="242"/>
      <c r="G190" s="243"/>
      <c r="H190" s="243"/>
      <c r="I190" s="227"/>
      <c r="J190" s="227"/>
      <c r="K190" s="193"/>
    </row>
    <row r="191" spans="1:11" ht="15" customHeight="1" x14ac:dyDescent="0.25">
      <c r="A191" s="193"/>
      <c r="B191" s="193"/>
      <c r="C191" s="193"/>
      <c r="D191" s="240"/>
      <c r="E191" s="241"/>
      <c r="F191" s="242"/>
      <c r="G191" s="243"/>
      <c r="H191" s="243"/>
      <c r="I191" s="227"/>
      <c r="J191" s="227"/>
      <c r="K191" s="193"/>
    </row>
    <row r="192" spans="1:11" ht="15" customHeight="1" x14ac:dyDescent="0.25">
      <c r="A192" s="193"/>
      <c r="B192" s="193"/>
      <c r="C192" s="193"/>
      <c r="D192" s="240"/>
      <c r="E192" s="241"/>
      <c r="F192" s="242"/>
      <c r="G192" s="243"/>
      <c r="H192" s="243"/>
      <c r="I192" s="227"/>
      <c r="J192" s="227"/>
      <c r="K192" s="193"/>
    </row>
    <row r="193" spans="1:11" ht="15" customHeight="1" x14ac:dyDescent="0.25">
      <c r="A193" s="193"/>
      <c r="B193" s="193" t="s">
        <v>257</v>
      </c>
      <c r="C193" s="247" t="s">
        <v>258</v>
      </c>
      <c r="D193" s="240">
        <f>IF(F90&gt;3,2.25*D183,1.5*D183)</f>
        <v>11.16</v>
      </c>
      <c r="E193" s="241" t="s">
        <v>1</v>
      </c>
      <c r="F193" s="242"/>
      <c r="G193" s="243"/>
      <c r="H193" s="243"/>
      <c r="I193" s="227"/>
      <c r="J193" s="227"/>
      <c r="K193" s="193"/>
    </row>
    <row r="194" spans="1:11" ht="15" customHeight="1" x14ac:dyDescent="0.25">
      <c r="A194" s="193"/>
      <c r="B194"/>
      <c r="C194" s="193"/>
      <c r="D194" s="240"/>
      <c r="E194" s="241"/>
      <c r="F194" s="242"/>
      <c r="G194" s="248"/>
      <c r="H194"/>
      <c r="I194"/>
      <c r="J194"/>
      <c r="K194" s="193"/>
    </row>
    <row r="195" spans="1:11" ht="15" customHeight="1" x14ac:dyDescent="0.25">
      <c r="A195" s="193"/>
      <c r="B195" s="244" t="s">
        <v>435</v>
      </c>
      <c r="C195" s="193"/>
      <c r="D195" s="240"/>
      <c r="E195" s="241"/>
      <c r="F195" s="242"/>
      <c r="G195" s="248"/>
      <c r="H195"/>
      <c r="I195"/>
      <c r="J195"/>
      <c r="K195" s="193"/>
    </row>
    <row r="196" spans="1:11" ht="15" customHeight="1" x14ac:dyDescent="0.25">
      <c r="A196" s="193"/>
      <c r="B196" s="193"/>
      <c r="C196" s="193"/>
      <c r="D196" s="240">
        <f>2*$D$167</f>
        <v>10.08</v>
      </c>
      <c r="E196" s="241" t="s">
        <v>1</v>
      </c>
      <c r="F196" s="242"/>
      <c r="G196" s="248"/>
      <c r="H196"/>
      <c r="I196"/>
      <c r="J196"/>
      <c r="K196" s="193"/>
    </row>
    <row r="197" spans="1:11" ht="15" customHeight="1" x14ac:dyDescent="0.25">
      <c r="A197" s="193"/>
      <c r="B197" s="193"/>
      <c r="C197" s="193"/>
      <c r="D197" s="240"/>
      <c r="E197" s="241"/>
      <c r="F197" s="242"/>
      <c r="G197" s="248"/>
      <c r="H197"/>
      <c r="I197"/>
      <c r="J197"/>
      <c r="K197" s="193"/>
    </row>
    <row r="198" spans="1:11" ht="15" customHeight="1" x14ac:dyDescent="0.25">
      <c r="A198" s="193"/>
      <c r="B198" s="244" t="s">
        <v>436</v>
      </c>
      <c r="C198" s="193"/>
      <c r="D198" s="240"/>
      <c r="E198" s="241"/>
      <c r="F198" s="242"/>
      <c r="G198" s="243"/>
      <c r="H198" s="243"/>
      <c r="I198" s="227"/>
      <c r="J198" s="227"/>
      <c r="K198" s="193"/>
    </row>
    <row r="199" spans="1:11" ht="15" customHeight="1" x14ac:dyDescent="0.25">
      <c r="A199" s="193"/>
      <c r="B199" s="193"/>
      <c r="C199" s="193"/>
      <c r="D199" s="240">
        <f>D167+D175</f>
        <v>15.792000000000002</v>
      </c>
      <c r="E199" s="241" t="s">
        <v>1</v>
      </c>
      <c r="F199" s="242"/>
      <c r="G199" s="243"/>
      <c r="H199" s="243"/>
      <c r="I199" s="227"/>
      <c r="J199" s="227"/>
      <c r="K199" s="193"/>
    </row>
    <row r="200" spans="1:11" ht="15" customHeight="1" x14ac:dyDescent="0.25">
      <c r="A200" s="193"/>
      <c r="B200" s="193"/>
      <c r="C200" s="193"/>
      <c r="D200" s="240"/>
      <c r="E200" s="241"/>
      <c r="F200" s="242"/>
      <c r="G200" s="243"/>
      <c r="H200" s="243"/>
      <c r="I200" s="227"/>
      <c r="J200" s="227"/>
      <c r="K200" s="193"/>
    </row>
    <row r="201" spans="1:11" ht="15" customHeight="1" x14ac:dyDescent="0.25">
      <c r="A201" s="193"/>
      <c r="B201"/>
      <c r="C201"/>
      <c r="D201"/>
      <c r="E201"/>
      <c r="F201"/>
      <c r="G201"/>
      <c r="H201"/>
      <c r="I201"/>
      <c r="J201" s="201"/>
      <c r="K201" s="193"/>
    </row>
    <row r="202" spans="1:11" ht="15" customHeight="1" x14ac:dyDescent="0.25">
      <c r="A202" s="193"/>
      <c r="B202"/>
      <c r="C202"/>
      <c r="D202"/>
      <c r="E202"/>
      <c r="F202"/>
      <c r="G202"/>
      <c r="H202"/>
      <c r="I202"/>
      <c r="J202" s="201"/>
      <c r="K202" s="193"/>
    </row>
    <row r="203" spans="1:11" ht="15" customHeight="1" x14ac:dyDescent="0.25">
      <c r="A203" s="194" t="s">
        <v>259</v>
      </c>
      <c r="E203" s="208"/>
      <c r="F203" s="29"/>
      <c r="G203" s="194"/>
      <c r="H203" s="194"/>
      <c r="I203" s="208"/>
    </row>
    <row r="204" spans="1:11" ht="15" customHeight="1" x14ac:dyDescent="0.25">
      <c r="E204" s="208"/>
      <c r="F204" s="29"/>
      <c r="G204" s="194"/>
      <c r="H204" s="194"/>
      <c r="I204" s="208"/>
    </row>
    <row r="205" spans="1:11" ht="15" customHeight="1" x14ac:dyDescent="0.2">
      <c r="A205" s="45" t="s">
        <v>126</v>
      </c>
      <c r="B205" s="8" t="s">
        <v>5</v>
      </c>
      <c r="E205" s="208"/>
      <c r="F205" s="29"/>
      <c r="G205" s="194"/>
      <c r="H205" s="194"/>
      <c r="I205" s="208"/>
    </row>
    <row r="206" spans="1:11" ht="15" customHeight="1" x14ac:dyDescent="0.5">
      <c r="B206" s="166" t="s">
        <v>260</v>
      </c>
      <c r="C206" s="8"/>
      <c r="D206" s="8"/>
      <c r="E206" s="8"/>
      <c r="G206" s="194"/>
      <c r="H206" s="194"/>
      <c r="I206" s="208"/>
    </row>
    <row r="207" spans="1:11" ht="15" customHeight="1" x14ac:dyDescent="0.25">
      <c r="B207"/>
      <c r="C207" s="8"/>
      <c r="D207" s="8"/>
      <c r="E207" s="8"/>
      <c r="G207" s="194"/>
      <c r="H207" s="194"/>
      <c r="I207" s="208"/>
    </row>
    <row r="208" spans="1:11" ht="15" customHeight="1" x14ac:dyDescent="0.25">
      <c r="C208" s="193"/>
      <c r="E208" s="215"/>
      <c r="F208" s="249">
        <f>($D$187+$D$193+2*$D$183+2*0.6*$E$211)*$D$199*$C$25</f>
        <v>-8850.698857774536</v>
      </c>
      <c r="G208" s="221" t="s">
        <v>54</v>
      </c>
      <c r="H208" s="194"/>
      <c r="I208" s="214"/>
      <c r="J208" s="238"/>
      <c r="K208" s="250"/>
    </row>
    <row r="209" spans="1:11" ht="15" customHeight="1" x14ac:dyDescent="0.2">
      <c r="B209" s="8"/>
      <c r="C209" s="8"/>
      <c r="D209" s="8"/>
      <c r="E209" s="8"/>
      <c r="F209" s="29"/>
      <c r="G209" s="194"/>
      <c r="H209" s="194"/>
      <c r="I209" s="208"/>
    </row>
    <row r="210" spans="1:11" ht="15" customHeight="1" x14ac:dyDescent="0.2">
      <c r="B210" s="45" t="s">
        <v>65</v>
      </c>
      <c r="C210" s="8"/>
      <c r="D210" s="8"/>
      <c r="E210" s="8"/>
      <c r="F210" s="29"/>
      <c r="G210" s="194"/>
      <c r="H210" s="194"/>
      <c r="I210" s="208"/>
    </row>
    <row r="211" spans="1:11" ht="15" customHeight="1" x14ac:dyDescent="0.2">
      <c r="B211" s="8"/>
      <c r="C211" s="8"/>
      <c r="D211" s="8"/>
      <c r="E211" s="8">
        <f>$C$24-$C$25-($C$26+1.5)</f>
        <v>-502.8121568818882</v>
      </c>
      <c r="F211" s="210" t="s">
        <v>1</v>
      </c>
      <c r="G211" s="194"/>
      <c r="H211" s="194"/>
      <c r="I211" s="208"/>
    </row>
    <row r="212" spans="1:11" ht="15" customHeight="1" x14ac:dyDescent="0.2">
      <c r="B212" s="8"/>
      <c r="C212" s="8"/>
      <c r="D212" s="8"/>
      <c r="E212" s="8"/>
      <c r="F212" s="29"/>
      <c r="G212" s="194"/>
      <c r="H212" s="194"/>
      <c r="I212" s="208"/>
    </row>
    <row r="213" spans="1:11" ht="15" customHeight="1" x14ac:dyDescent="0.5">
      <c r="B213" s="166" t="s">
        <v>261</v>
      </c>
      <c r="C213" s="8"/>
      <c r="D213" s="8"/>
      <c r="E213" s="8"/>
      <c r="F213" s="29"/>
      <c r="G213" s="194"/>
      <c r="H213" s="194"/>
      <c r="I213" s="208"/>
    </row>
    <row r="214" spans="1:11" ht="15" customHeight="1" x14ac:dyDescent="0.5">
      <c r="B214" s="166"/>
      <c r="C214" s="8"/>
      <c r="D214" s="8"/>
      <c r="E214" s="8"/>
      <c r="F214" s="29"/>
      <c r="G214" s="194"/>
      <c r="H214" s="194"/>
      <c r="I214" s="208"/>
    </row>
    <row r="215" spans="1:11" ht="15" customHeight="1" x14ac:dyDescent="0.25">
      <c r="C215" s="193"/>
      <c r="D215" s="249">
        <f>$F$218+$F$220</f>
        <v>2058283.7970237804</v>
      </c>
      <c r="E215" s="221" t="s">
        <v>54</v>
      </c>
      <c r="F215" s="194"/>
      <c r="G215" s="214"/>
      <c r="H215" s="238"/>
      <c r="I215" s="250"/>
    </row>
    <row r="216" spans="1:11" ht="15" customHeight="1" x14ac:dyDescent="0.2">
      <c r="B216" s="8"/>
      <c r="C216" s="8"/>
      <c r="D216" s="8"/>
      <c r="E216" s="8"/>
      <c r="F216" s="29"/>
      <c r="G216" s="194"/>
      <c r="H216" s="194"/>
      <c r="I216" s="208"/>
    </row>
    <row r="217" spans="1:11" ht="15" customHeight="1" x14ac:dyDescent="0.2">
      <c r="B217" s="45" t="s">
        <v>65</v>
      </c>
      <c r="C217" s="8"/>
      <c r="D217" s="8"/>
      <c r="E217" s="8"/>
      <c r="F217" s="29"/>
      <c r="G217" s="194"/>
      <c r="H217" s="194"/>
      <c r="I217" s="208"/>
    </row>
    <row r="218" spans="1:11" ht="15" customHeight="1" x14ac:dyDescent="0.2">
      <c r="B218" s="8"/>
      <c r="C218" s="8"/>
      <c r="D218" s="8"/>
      <c r="E218" s="8"/>
      <c r="F218" s="251">
        <f>($D$187+$D$193+2*$D$183+0.6*$E$211)*$D$199*$E$211</f>
        <v>2054718.3016763043</v>
      </c>
      <c r="G218" s="211" t="s">
        <v>54</v>
      </c>
      <c r="H218" s="194"/>
      <c r="I218" s="214"/>
      <c r="J218" s="238"/>
      <c r="K218" s="250"/>
    </row>
    <row r="219" spans="1:11" ht="15" customHeight="1" x14ac:dyDescent="0.2">
      <c r="B219" s="8"/>
      <c r="C219" s="8"/>
      <c r="D219" s="8"/>
      <c r="E219" s="8"/>
      <c r="F219" s="29"/>
      <c r="G219" s="194"/>
      <c r="H219" s="194"/>
      <c r="I219" s="208"/>
    </row>
    <row r="220" spans="1:11" ht="15" customHeight="1" x14ac:dyDescent="0.2">
      <c r="B220" s="8"/>
      <c r="C220" s="8"/>
      <c r="D220" s="8"/>
      <c r="E220" s="8"/>
      <c r="F220" s="251">
        <f>$D$187*$D$199*($C$26+1.5-$D$156+$D$161/2)</f>
        <v>3565.4953474759905</v>
      </c>
      <c r="G220" s="211" t="s">
        <v>54</v>
      </c>
      <c r="H220" s="194"/>
      <c r="I220" s="214"/>
      <c r="J220" s="238"/>
      <c r="K220" s="250"/>
    </row>
    <row r="221" spans="1:11" ht="15" customHeight="1" x14ac:dyDescent="0.25">
      <c r="B221"/>
      <c r="C221" s="8"/>
      <c r="D221" s="8"/>
      <c r="E221" s="8"/>
      <c r="F221" s="29"/>
      <c r="G221" s="194"/>
      <c r="H221" s="194"/>
      <c r="I221" s="208"/>
    </row>
    <row r="222" spans="1:11" ht="15" customHeight="1" x14ac:dyDescent="0.2">
      <c r="B222" s="8"/>
      <c r="C222" s="8"/>
      <c r="D222" s="8"/>
      <c r="E222" s="8"/>
      <c r="F222" s="29"/>
      <c r="G222" s="194"/>
      <c r="H222" s="194"/>
      <c r="I222" s="208"/>
    </row>
    <row r="223" spans="1:11" ht="15" customHeight="1" x14ac:dyDescent="0.2">
      <c r="A223" s="45" t="s">
        <v>140</v>
      </c>
      <c r="B223" s="8" t="s">
        <v>262</v>
      </c>
      <c r="E223" s="208"/>
      <c r="F223" s="29"/>
      <c r="G223" s="194"/>
      <c r="H223" s="194"/>
      <c r="I223" s="208"/>
    </row>
    <row r="224" spans="1:11" ht="15" customHeight="1" x14ac:dyDescent="0.25">
      <c r="E224" s="208"/>
      <c r="F224" s="29"/>
      <c r="G224" s="194"/>
      <c r="H224" s="194"/>
      <c r="I224" s="208"/>
    </row>
    <row r="225" spans="2:9" ht="15" customHeight="1" x14ac:dyDescent="0.25">
      <c r="B225" s="9" t="s">
        <v>437</v>
      </c>
      <c r="C225" s="8"/>
      <c r="D225" s="8"/>
      <c r="E225" s="45"/>
      <c r="F225"/>
      <c r="G225"/>
      <c r="H225" s="194"/>
      <c r="I225" s="208"/>
    </row>
    <row r="226" spans="2:9" ht="15" customHeight="1" x14ac:dyDescent="0.2">
      <c r="B226" s="8"/>
      <c r="C226" s="8"/>
      <c r="D226" s="8"/>
      <c r="E226" s="45"/>
      <c r="F226" s="29"/>
      <c r="G226" s="194"/>
      <c r="H226" s="194"/>
      <c r="I226" s="208"/>
    </row>
    <row r="227" spans="2:9" ht="15" customHeight="1" x14ac:dyDescent="0.2">
      <c r="B227" s="8"/>
      <c r="C227" s="8"/>
      <c r="D227" s="249">
        <f>$D$187*$D$199+$D$193*$D$196</f>
        <v>379.06175999999999</v>
      </c>
      <c r="E227" s="194" t="s">
        <v>58</v>
      </c>
      <c r="F227" s="194"/>
      <c r="G227" s="214"/>
      <c r="H227" s="238"/>
      <c r="I227" s="250"/>
    </row>
    <row r="228" spans="2:9" ht="15" customHeight="1" x14ac:dyDescent="0.2">
      <c r="B228" s="8"/>
      <c r="C228" s="8"/>
      <c r="D228" s="8"/>
      <c r="E228" s="45"/>
      <c r="F228" s="29"/>
      <c r="G228" s="194"/>
      <c r="H228" s="194"/>
      <c r="I228" s="208"/>
    </row>
    <row r="229" spans="2:9" ht="15" customHeight="1" x14ac:dyDescent="0.25">
      <c r="B229" s="9" t="s">
        <v>438</v>
      </c>
      <c r="C229" s="8"/>
      <c r="D229" s="8"/>
      <c r="E229" s="45"/>
      <c r="F229"/>
      <c r="G229"/>
      <c r="H229" s="194"/>
      <c r="I229" s="208"/>
    </row>
    <row r="230" spans="2:9" ht="15" customHeight="1" x14ac:dyDescent="0.25">
      <c r="D230"/>
      <c r="E230"/>
      <c r="F230"/>
      <c r="G230" s="194"/>
      <c r="H230" s="194"/>
      <c r="I230" s="208"/>
    </row>
    <row r="231" spans="2:9" ht="15" customHeight="1" x14ac:dyDescent="0.25">
      <c r="D231" s="249">
        <f>$D$187/3*$E$234</f>
        <v>94.291750383611642</v>
      </c>
      <c r="E231" s="194" t="s">
        <v>1</v>
      </c>
      <c r="F231" s="194"/>
      <c r="G231" s="214"/>
      <c r="H231" s="238"/>
      <c r="I231" s="250"/>
    </row>
    <row r="232" spans="2:9" ht="15" customHeight="1" x14ac:dyDescent="0.25">
      <c r="D232"/>
      <c r="E232"/>
      <c r="F232"/>
      <c r="G232" s="194"/>
      <c r="H232" s="194"/>
      <c r="I232" s="208"/>
    </row>
    <row r="233" spans="2:9" ht="15" customHeight="1" x14ac:dyDescent="0.25">
      <c r="B233" s="212" t="s">
        <v>65</v>
      </c>
      <c r="D233"/>
      <c r="E233"/>
      <c r="F233"/>
      <c r="G233" s="194"/>
      <c r="H233" s="194"/>
      <c r="I233" s="208"/>
    </row>
    <row r="234" spans="2:9" ht="15" customHeight="1" x14ac:dyDescent="0.25">
      <c r="B234" s="212"/>
      <c r="D234"/>
      <c r="E234" s="242">
        <f>IF(1.5*($C$26-$D$156+$D$173/2)&gt;40,40,1.5*($C$26-$D$156+$D$173/2))</f>
        <v>16.758012508935721</v>
      </c>
      <c r="F234" s="2" t="s">
        <v>439</v>
      </c>
      <c r="G234" s="194"/>
      <c r="H234" s="194"/>
      <c r="I234" s="208"/>
    </row>
    <row r="235" spans="2:9" ht="15" customHeight="1" x14ac:dyDescent="0.25">
      <c r="D235"/>
      <c r="E235"/>
      <c r="F235"/>
      <c r="G235" s="194"/>
      <c r="H235" s="194"/>
      <c r="I235" s="208"/>
    </row>
    <row r="236" spans="2:9" ht="15" customHeight="1" x14ac:dyDescent="0.25">
      <c r="B236" s="9" t="s">
        <v>404</v>
      </c>
      <c r="E236" s="208"/>
      <c r="F236" s="29"/>
      <c r="G236" s="194"/>
      <c r="H236" s="194"/>
      <c r="I236" s="208"/>
    </row>
    <row r="237" spans="2:9" ht="15" customHeight="1" x14ac:dyDescent="0.25">
      <c r="E237" s="208"/>
      <c r="F237" s="29"/>
      <c r="G237" s="194"/>
      <c r="H237" s="194"/>
      <c r="I237" s="208"/>
    </row>
    <row r="238" spans="2:9" ht="15" customHeight="1" x14ac:dyDescent="0.3">
      <c r="B238" s="45" t="s">
        <v>263</v>
      </c>
      <c r="C238" s="167">
        <v>39.700000000000003</v>
      </c>
      <c r="D238" s="8" t="s">
        <v>69</v>
      </c>
      <c r="E238" s="8" t="s">
        <v>70</v>
      </c>
      <c r="F238" s="8"/>
      <c r="G238" s="114"/>
      <c r="H238" s="194"/>
      <c r="I238" s="208"/>
    </row>
    <row r="239" spans="2:9" ht="15" customHeight="1" x14ac:dyDescent="0.3">
      <c r="B239" s="45" t="s">
        <v>71</v>
      </c>
      <c r="C239" s="167">
        <v>168</v>
      </c>
      <c r="D239" s="8" t="s">
        <v>72</v>
      </c>
      <c r="E239" s="8" t="s">
        <v>73</v>
      </c>
      <c r="F239" s="8"/>
      <c r="G239" s="114"/>
      <c r="H239" s="194"/>
      <c r="I239" s="208"/>
    </row>
    <row r="240" spans="2:9" ht="15" customHeight="1" x14ac:dyDescent="0.3">
      <c r="B240" s="45" t="s">
        <v>74</v>
      </c>
      <c r="C240" s="167">
        <v>72</v>
      </c>
      <c r="D240" s="8" t="s">
        <v>72</v>
      </c>
      <c r="E240" s="8" t="s">
        <v>264</v>
      </c>
      <c r="F240" s="8"/>
      <c r="G240" s="114"/>
      <c r="H240" s="194"/>
      <c r="I240" s="208"/>
    </row>
    <row r="241" spans="1:10" ht="15" customHeight="1" x14ac:dyDescent="0.2">
      <c r="B241" s="8"/>
      <c r="C241" s="8"/>
      <c r="D241" s="8"/>
      <c r="E241" s="8"/>
      <c r="F241" s="8"/>
      <c r="G241" s="114"/>
      <c r="H241" s="194"/>
      <c r="I241" s="208"/>
    </row>
    <row r="242" spans="1:10" ht="15" customHeight="1" x14ac:dyDescent="0.25">
      <c r="B242" s="8"/>
      <c r="C242" s="8"/>
      <c r="D242" s="8"/>
      <c r="E242" s="44">
        <f>$C$238*$D$227+$C$239*$D$231+$C$240*$D$231</f>
        <v>37678.771964066793</v>
      </c>
      <c r="F242" s="114" t="s">
        <v>76</v>
      </c>
      <c r="G242"/>
      <c r="H242" s="194"/>
      <c r="I242" s="208"/>
    </row>
    <row r="243" spans="1:10" ht="15" customHeight="1" x14ac:dyDescent="0.2">
      <c r="B243" s="8"/>
      <c r="C243" s="8"/>
      <c r="D243" s="8"/>
      <c r="E243" s="8"/>
      <c r="F243" s="8"/>
      <c r="G243" s="114"/>
      <c r="H243" s="194"/>
      <c r="I243" s="208"/>
    </row>
    <row r="244" spans="1:10" ht="15" customHeight="1" x14ac:dyDescent="0.2">
      <c r="A244" s="45" t="s">
        <v>150</v>
      </c>
      <c r="B244" s="8" t="s">
        <v>6</v>
      </c>
      <c r="E244" s="208"/>
      <c r="F244" s="29"/>
      <c r="G244" s="194"/>
      <c r="H244" s="194"/>
      <c r="I244" s="208"/>
    </row>
    <row r="245" spans="1:10" ht="15" customHeight="1" x14ac:dyDescent="0.2">
      <c r="A245" s="45"/>
      <c r="B245" s="8"/>
      <c r="E245" s="208"/>
      <c r="F245" s="29"/>
      <c r="G245" s="194"/>
      <c r="H245" s="194"/>
      <c r="I245" s="208"/>
    </row>
    <row r="246" spans="1:10" ht="15" customHeight="1" x14ac:dyDescent="0.25">
      <c r="B246" s="9" t="s">
        <v>440</v>
      </c>
      <c r="E246"/>
      <c r="G246" s="208"/>
    </row>
    <row r="247" spans="1:10" ht="15" customHeight="1" x14ac:dyDescent="0.25">
      <c r="B247"/>
      <c r="E247"/>
      <c r="F247" s="252" t="s">
        <v>78</v>
      </c>
      <c r="G247" s="252" t="s">
        <v>79</v>
      </c>
    </row>
    <row r="248" spans="1:10" ht="15" customHeight="1" x14ac:dyDescent="0.25">
      <c r="B248"/>
      <c r="C248" s="233"/>
      <c r="D248" s="233"/>
      <c r="E248" s="51"/>
      <c r="F248" s="232" t="s">
        <v>265</v>
      </c>
      <c r="G248" s="232" t="s">
        <v>265</v>
      </c>
    </row>
    <row r="249" spans="1:10" ht="15" customHeight="1" x14ac:dyDescent="0.25">
      <c r="B249"/>
      <c r="C249" s="9" t="s">
        <v>441</v>
      </c>
      <c r="E249"/>
      <c r="F249" s="253">
        <v>270</v>
      </c>
      <c r="G249" s="253">
        <v>50</v>
      </c>
    </row>
    <row r="250" spans="1:10" ht="15" customHeight="1" x14ac:dyDescent="0.25">
      <c r="B250"/>
      <c r="C250" s="9" t="s">
        <v>267</v>
      </c>
      <c r="E250"/>
      <c r="F250" s="254">
        <v>200</v>
      </c>
      <c r="G250" s="254">
        <v>0</v>
      </c>
    </row>
    <row r="251" spans="1:10" ht="15" customHeight="1" x14ac:dyDescent="0.25">
      <c r="B251"/>
      <c r="C251" s="255" t="s">
        <v>266</v>
      </c>
      <c r="D251" s="233"/>
      <c r="E251" s="51"/>
      <c r="F251" s="256">
        <v>300</v>
      </c>
      <c r="G251" s="256">
        <v>100</v>
      </c>
    </row>
    <row r="252" spans="1:10" ht="15" customHeight="1" x14ac:dyDescent="0.25">
      <c r="D252" s="257"/>
      <c r="F252" s="208"/>
    </row>
    <row r="253" spans="1:10" ht="15" customHeight="1" x14ac:dyDescent="0.25">
      <c r="A253" s="212"/>
      <c r="B253" s="9" t="s">
        <v>81</v>
      </c>
    </row>
    <row r="254" spans="1:10" ht="15" customHeight="1" x14ac:dyDescent="0.25">
      <c r="B254"/>
      <c r="E254"/>
      <c r="F254" s="252" t="s">
        <v>78</v>
      </c>
      <c r="G254" s="252" t="s">
        <v>79</v>
      </c>
      <c r="H254" s="52" t="s">
        <v>82</v>
      </c>
      <c r="I254" s="52"/>
      <c r="J254" s="52"/>
    </row>
    <row r="255" spans="1:10" ht="15" customHeight="1" x14ac:dyDescent="0.25">
      <c r="B255"/>
      <c r="E255"/>
      <c r="F255" s="29"/>
      <c r="G255" s="29"/>
      <c r="H255" s="34" t="s">
        <v>83</v>
      </c>
      <c r="I255" s="54" t="s">
        <v>84</v>
      </c>
      <c r="J255" s="54" t="s">
        <v>85</v>
      </c>
    </row>
    <row r="256" spans="1:10" ht="15" customHeight="1" x14ac:dyDescent="0.25">
      <c r="B256"/>
      <c r="C256" s="233"/>
      <c r="D256" s="233"/>
      <c r="E256" s="233"/>
      <c r="F256" s="232" t="s">
        <v>59</v>
      </c>
      <c r="G256" s="232" t="s">
        <v>59</v>
      </c>
      <c r="H256" s="55" t="s">
        <v>54</v>
      </c>
      <c r="I256" s="55" t="s">
        <v>68</v>
      </c>
      <c r="J256" s="55" t="s">
        <v>76</v>
      </c>
    </row>
    <row r="257" spans="1:12" ht="15" customHeight="1" x14ac:dyDescent="0.25">
      <c r="B257"/>
      <c r="C257" s="9" t="s">
        <v>441</v>
      </c>
      <c r="F257" s="258">
        <f>H257*F249/1000</f>
        <v>697.77387480412426</v>
      </c>
      <c r="G257" s="258">
        <f>H257*G249/1000</f>
        <v>129.21738422298597</v>
      </c>
      <c r="H257" s="259">
        <f>F90*(H164-H167)+H170</f>
        <v>2584.3476844597194</v>
      </c>
      <c r="I257" s="260">
        <v>214</v>
      </c>
      <c r="J257" s="261">
        <f>H257*I257</f>
        <v>553050.40447437996</v>
      </c>
      <c r="L257" s="448" t="s">
        <v>593</v>
      </c>
    </row>
    <row r="258" spans="1:12" ht="15" customHeight="1" x14ac:dyDescent="0.25">
      <c r="B258"/>
      <c r="C258" s="9" t="s">
        <v>267</v>
      </c>
      <c r="F258" s="258">
        <f>H258*F250/1000</f>
        <v>0</v>
      </c>
      <c r="G258" s="258">
        <f>H258*G250/1000</f>
        <v>0</v>
      </c>
      <c r="H258" s="259">
        <f>C28</f>
        <v>0</v>
      </c>
      <c r="I258" s="260">
        <v>113</v>
      </c>
      <c r="J258" s="261">
        <f>H258*I258</f>
        <v>0</v>
      </c>
    </row>
    <row r="259" spans="1:12" ht="15" customHeight="1" x14ac:dyDescent="0.25">
      <c r="B259"/>
      <c r="C259" s="208" t="s">
        <v>266</v>
      </c>
      <c r="F259" s="258">
        <f>H259*F251/1000</f>
        <v>155.06086106758318</v>
      </c>
      <c r="G259" s="258">
        <f>H259*G251/1000</f>
        <v>51.686953689194389</v>
      </c>
      <c r="H259" s="262">
        <f>H257*0.2</f>
        <v>516.86953689194388</v>
      </c>
      <c r="I259" s="263">
        <v>214</v>
      </c>
      <c r="J259" s="264">
        <f>H259*I259</f>
        <v>110610.08089487599</v>
      </c>
      <c r="L259" s="448" t="s">
        <v>615</v>
      </c>
    </row>
    <row r="260" spans="1:12" ht="15" customHeight="1" x14ac:dyDescent="0.25">
      <c r="B260"/>
      <c r="C260" s="265" t="s">
        <v>90</v>
      </c>
      <c r="D260" s="266"/>
      <c r="E260" s="266"/>
      <c r="F260" s="267">
        <f>SUM(F257:F259)</f>
        <v>852.83473587170738</v>
      </c>
      <c r="G260" s="267">
        <f>SUM(G257:G259)</f>
        <v>180.90433791218035</v>
      </c>
      <c r="H260" s="267">
        <f>SUM(H257:H259)</f>
        <v>3101.2172213516633</v>
      </c>
      <c r="I260" s="267" t="s">
        <v>91</v>
      </c>
      <c r="J260" s="267">
        <f>SUM(J257:J259)</f>
        <v>663660.485369256</v>
      </c>
      <c r="L260" s="448" t="s">
        <v>616</v>
      </c>
    </row>
    <row r="261" spans="1:12" ht="15" customHeight="1" x14ac:dyDescent="0.25">
      <c r="B261" s="201"/>
      <c r="D261" s="257"/>
      <c r="E261" s="257"/>
      <c r="F261" s="257"/>
    </row>
    <row r="262" spans="1:12" ht="15" customHeight="1" x14ac:dyDescent="0.25">
      <c r="B262"/>
      <c r="C262" s="5" t="s">
        <v>442</v>
      </c>
      <c r="D262" s="3">
        <f>J260/H260</f>
        <v>214.00000000000003</v>
      </c>
      <c r="E262" s="33" t="s">
        <v>68</v>
      </c>
      <c r="F262" s="33" t="s">
        <v>93</v>
      </c>
    </row>
    <row r="263" spans="1:12" ht="15" customHeight="1" x14ac:dyDescent="0.2">
      <c r="B263" s="2"/>
      <c r="C263" s="2"/>
      <c r="D263" s="3"/>
      <c r="E263" s="33"/>
      <c r="F263" s="33"/>
    </row>
    <row r="264" spans="1:12" ht="15" customHeight="1" x14ac:dyDescent="0.2">
      <c r="B264" s="2"/>
      <c r="C264" s="2"/>
      <c r="D264" s="3"/>
      <c r="E264" s="33"/>
      <c r="F264" s="33"/>
    </row>
    <row r="265" spans="1:12" ht="15" customHeight="1" x14ac:dyDescent="0.2">
      <c r="A265" s="45" t="s">
        <v>217</v>
      </c>
      <c r="B265" s="8" t="s">
        <v>268</v>
      </c>
      <c r="C265" s="8"/>
      <c r="D265" s="8"/>
      <c r="E265" s="8"/>
      <c r="F265" s="8"/>
      <c r="G265" s="8"/>
      <c r="H265" s="8"/>
      <c r="I265" s="8"/>
      <c r="J265" s="8"/>
      <c r="K265" s="8"/>
    </row>
    <row r="266" spans="1:12" ht="15" customHeight="1" x14ac:dyDescent="0.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</row>
    <row r="267" spans="1:12" ht="15" customHeight="1" x14ac:dyDescent="0.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</row>
    <row r="268" spans="1:12" ht="15" customHeight="1" x14ac:dyDescent="0.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</row>
    <row r="269" spans="1:12" ht="15" customHeight="1" x14ac:dyDescent="0.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</row>
    <row r="270" spans="1:12" ht="15" customHeight="1" x14ac:dyDescent="0.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</row>
    <row r="271" spans="1:12" ht="15" customHeight="1" x14ac:dyDescent="0.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</row>
    <row r="272" spans="1:12" ht="15" customHeight="1" x14ac:dyDescent="0.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</row>
    <row r="273" spans="1:11" ht="15" customHeight="1" x14ac:dyDescent="0.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</row>
    <row r="274" spans="1:11" ht="15" customHeight="1" x14ac:dyDescent="0.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</row>
    <row r="275" spans="1:11" ht="15" customHeight="1" x14ac:dyDescent="0.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</row>
    <row r="276" spans="1:11" ht="15" customHeight="1" x14ac:dyDescent="0.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</row>
    <row r="277" spans="1:11" ht="15" customHeight="1" x14ac:dyDescent="0.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</row>
    <row r="278" spans="1:11" ht="15" customHeight="1" x14ac:dyDescent="0.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</row>
    <row r="279" spans="1:11" ht="15" customHeight="1" x14ac:dyDescent="0.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</row>
    <row r="280" spans="1:11" ht="15" customHeight="1" x14ac:dyDescent="0.2">
      <c r="A280" s="8"/>
      <c r="B280" s="8" t="s">
        <v>269</v>
      </c>
      <c r="C280" s="8"/>
      <c r="D280" s="8"/>
      <c r="E280" s="8"/>
      <c r="F280" s="8"/>
      <c r="G280" s="8"/>
      <c r="H280" s="8"/>
      <c r="I280" s="8"/>
      <c r="J280" s="8"/>
      <c r="K280" s="8"/>
    </row>
    <row r="281" spans="1:11" ht="15" customHeight="1" x14ac:dyDescent="0.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</row>
    <row r="282" spans="1:11" ht="15" customHeight="1" x14ac:dyDescent="0.2">
      <c r="A282" s="8"/>
      <c r="B282" s="8"/>
      <c r="C282" s="8"/>
      <c r="D282" s="8"/>
      <c r="E282" s="44">
        <f>IF(AND(C101&gt;=30),1565*C101+772973,30^(1+15.34/30))</f>
        <v>170.77432980066101</v>
      </c>
      <c r="F282" s="114" t="s">
        <v>76</v>
      </c>
      <c r="G282" s="8"/>
      <c r="H282" s="8"/>
      <c r="I282" s="184" t="s">
        <v>472</v>
      </c>
      <c r="J282" s="8"/>
      <c r="K282" s="8"/>
    </row>
    <row r="283" spans="1:11" ht="15" customHeight="1" x14ac:dyDescent="0.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</row>
    <row r="284" spans="1:11" ht="15" customHeight="1" x14ac:dyDescent="0.2">
      <c r="A284" s="45" t="s">
        <v>220</v>
      </c>
      <c r="B284" s="8" t="s">
        <v>270</v>
      </c>
      <c r="C284" s="8"/>
      <c r="D284" s="8"/>
      <c r="E284" s="8"/>
      <c r="F284" s="8"/>
      <c r="G284" s="8"/>
      <c r="H284" s="8"/>
      <c r="I284" s="8"/>
      <c r="J284" s="8"/>
      <c r="K284" s="8"/>
    </row>
    <row r="285" spans="1:11" ht="15" customHeight="1" x14ac:dyDescent="0.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</row>
    <row r="286" spans="1:11" ht="15" customHeight="1" x14ac:dyDescent="0.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</row>
    <row r="287" spans="1:11" ht="15" customHeight="1" x14ac:dyDescent="0.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</row>
    <row r="288" spans="1:11" ht="15" customHeight="1" x14ac:dyDescent="0.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</row>
    <row r="289" spans="1:11" ht="15" customHeight="1" x14ac:dyDescent="0.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</row>
    <row r="290" spans="1:11" ht="15" customHeight="1" x14ac:dyDescent="0.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</row>
    <row r="291" spans="1:11" ht="15" customHeight="1" x14ac:dyDescent="0.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</row>
    <row r="292" spans="1:11" ht="15" customHeight="1" x14ac:dyDescent="0.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15" customHeight="1" x14ac:dyDescent="0.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15" customHeight="1" x14ac:dyDescent="0.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</row>
    <row r="295" spans="1:11" ht="15" customHeight="1" x14ac:dyDescent="0.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</row>
    <row r="296" spans="1:11" ht="15" customHeight="1" x14ac:dyDescent="0.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</row>
    <row r="297" spans="1:11" ht="15" customHeight="1" x14ac:dyDescent="0.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</row>
    <row r="298" spans="1:11" ht="15" customHeight="1" x14ac:dyDescent="0.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</row>
    <row r="299" spans="1:11" ht="15" customHeight="1" x14ac:dyDescent="0.2">
      <c r="A299" s="8"/>
      <c r="B299" s="8" t="s">
        <v>271</v>
      </c>
      <c r="C299" s="8"/>
      <c r="D299" s="8"/>
      <c r="E299" s="8"/>
      <c r="F299" s="8"/>
      <c r="G299" s="8"/>
      <c r="H299" s="8"/>
      <c r="I299" s="8"/>
      <c r="J299" s="8"/>
      <c r="K299" s="8"/>
    </row>
    <row r="300" spans="1:11" ht="15" customHeight="1" x14ac:dyDescent="0.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</row>
    <row r="301" spans="1:11" ht="15" customHeight="1" x14ac:dyDescent="0.2">
      <c r="A301" s="8"/>
      <c r="B301" s="8"/>
      <c r="C301" s="8"/>
      <c r="E301" s="44">
        <f>IF(AND(C101&gt;=30),6190*C101^(1+15.34/C101),30^(1+15.34/30))</f>
        <v>170.77432980066101</v>
      </c>
      <c r="F301" s="114" t="s">
        <v>76</v>
      </c>
      <c r="G301" s="8"/>
      <c r="H301" s="8"/>
      <c r="I301" s="184" t="s">
        <v>472</v>
      </c>
      <c r="J301" s="8"/>
      <c r="K301" s="8"/>
    </row>
    <row r="302" spans="1:11" ht="15" customHeight="1" x14ac:dyDescent="0.2">
      <c r="A302" s="8"/>
      <c r="B302" s="8"/>
      <c r="C302" s="8"/>
      <c r="D302" s="8"/>
      <c r="E302" s="114"/>
      <c r="F302" s="114"/>
      <c r="G302" s="8"/>
      <c r="H302" s="8"/>
      <c r="I302" s="8"/>
      <c r="J302" s="8"/>
      <c r="K302" s="8"/>
    </row>
    <row r="303" spans="1:11" ht="15" customHeight="1" x14ac:dyDescent="0.2">
      <c r="A303" s="45" t="s">
        <v>237</v>
      </c>
      <c r="B303" s="8" t="s">
        <v>272</v>
      </c>
      <c r="C303" s="8"/>
      <c r="D303" s="8"/>
      <c r="E303" s="114"/>
      <c r="F303" s="114"/>
      <c r="G303" s="8"/>
      <c r="H303" s="8"/>
      <c r="I303" s="8"/>
      <c r="J303" s="8"/>
      <c r="K303" s="8"/>
    </row>
    <row r="304" spans="1:11" ht="15" customHeight="1" x14ac:dyDescent="0.2">
      <c r="A304" s="45"/>
      <c r="B304" s="8"/>
      <c r="C304" s="8"/>
      <c r="D304" s="8"/>
      <c r="E304" s="114"/>
      <c r="F304" s="114"/>
      <c r="G304" s="8"/>
      <c r="H304" s="8"/>
      <c r="I304" s="8"/>
      <c r="J304" s="8"/>
      <c r="K304" s="8"/>
    </row>
    <row r="305" spans="1:11" ht="15" customHeight="1" x14ac:dyDescent="0.5">
      <c r="A305" s="8"/>
      <c r="B305" s="164" t="s">
        <v>273</v>
      </c>
      <c r="C305" s="8"/>
      <c r="D305" s="8"/>
      <c r="E305" s="114"/>
      <c r="F305" s="114"/>
      <c r="G305" s="8"/>
      <c r="H305" s="8"/>
      <c r="I305" s="8"/>
      <c r="J305" s="8"/>
      <c r="K305" s="8"/>
    </row>
    <row r="306" spans="1:11" ht="15" customHeight="1" x14ac:dyDescent="0.2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</row>
    <row r="307" spans="1:11" ht="15" customHeight="1" x14ac:dyDescent="0.2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</row>
    <row r="308" spans="1:11" ht="15" customHeight="1" x14ac:dyDescent="0.2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</row>
    <row r="309" spans="1:11" ht="15" customHeight="1" x14ac:dyDescent="0.2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</row>
    <row r="310" spans="1:11" ht="15" customHeight="1" x14ac:dyDescent="0.2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</row>
    <row r="311" spans="1:11" ht="15" customHeight="1" x14ac:dyDescent="0.2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</row>
    <row r="312" spans="1:11" ht="15" customHeight="1" x14ac:dyDescent="0.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</row>
    <row r="313" spans="1:11" ht="15" customHeight="1" x14ac:dyDescent="0.2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</row>
    <row r="314" spans="1:11" ht="15" customHeight="1" x14ac:dyDescent="0.2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</row>
    <row r="315" spans="1:11" ht="15" customHeight="1" x14ac:dyDescent="0.2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</row>
    <row r="316" spans="1:11" ht="15" customHeight="1" x14ac:dyDescent="0.2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</row>
    <row r="317" spans="1:11" ht="15" customHeight="1" x14ac:dyDescent="0.2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</row>
    <row r="318" spans="1:11" ht="15" customHeight="1" x14ac:dyDescent="0.2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</row>
    <row r="319" spans="1:11" ht="15" customHeight="1" x14ac:dyDescent="0.2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</row>
    <row r="320" spans="1:11" ht="15" customHeight="1" x14ac:dyDescent="0.2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</row>
    <row r="321" spans="1:13" ht="15" customHeight="1" x14ac:dyDescent="0.2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</row>
    <row r="322" spans="1:13" ht="15" customHeight="1" x14ac:dyDescent="0.2">
      <c r="A322" s="8"/>
      <c r="B322" s="8" t="s">
        <v>443</v>
      </c>
      <c r="C322" s="8"/>
      <c r="D322" s="8"/>
      <c r="E322" s="8"/>
      <c r="F322" s="8"/>
      <c r="G322" s="8"/>
      <c r="H322" s="8"/>
      <c r="I322" s="8"/>
      <c r="J322" s="8"/>
      <c r="K322" s="8"/>
    </row>
    <row r="323" spans="1:13" ht="15" customHeight="1" x14ac:dyDescent="0.2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</row>
    <row r="324" spans="1:13" ht="15" customHeight="1" x14ac:dyDescent="0.2">
      <c r="A324" s="201"/>
      <c r="B324" s="8" t="s">
        <v>444</v>
      </c>
      <c r="C324" s="8"/>
      <c r="D324" s="8"/>
      <c r="E324" s="44">
        <f>IF(AND(D328&gt;=10,D328&lt;=2000),1000*(39.434*(D328)+3791.7),"Fora da faixa de variacao da curva!  ERRO!")</f>
        <v>4469307.5666666664</v>
      </c>
      <c r="F324" s="114" t="s">
        <v>159</v>
      </c>
      <c r="G324" s="8"/>
      <c r="H324" s="8"/>
      <c r="I324" s="8"/>
      <c r="J324" s="184" t="s">
        <v>617</v>
      </c>
      <c r="K324" s="8"/>
      <c r="L324" s="8"/>
      <c r="M324" s="457">
        <v>10</v>
      </c>
    </row>
    <row r="325" spans="1:13" ht="15" customHeight="1" x14ac:dyDescent="0.2">
      <c r="A325" s="8"/>
      <c r="B325" s="8"/>
      <c r="C325" s="201"/>
      <c r="D325" s="8"/>
      <c r="E325" s="8"/>
      <c r="F325" s="8"/>
      <c r="G325" s="8"/>
      <c r="I325" s="184"/>
      <c r="J325" s="456" t="s">
        <v>471</v>
      </c>
      <c r="K325" s="201"/>
      <c r="M325" s="328">
        <v>2000</v>
      </c>
    </row>
    <row r="326" spans="1:13" ht="15" customHeight="1" x14ac:dyDescent="0.25">
      <c r="A326" s="8"/>
      <c r="B326" s="8"/>
      <c r="C326" s="8" t="s">
        <v>65</v>
      </c>
      <c r="D326"/>
      <c r="E326"/>
      <c r="F326" s="8"/>
      <c r="G326" s="8"/>
      <c r="H326" s="8"/>
      <c r="I326" s="8"/>
      <c r="J326" s="8"/>
      <c r="K326" s="8"/>
    </row>
    <row r="327" spans="1:13" ht="15" customHeight="1" x14ac:dyDescent="0.2">
      <c r="A327" s="8"/>
      <c r="B327" s="8"/>
      <c r="C327" s="8"/>
      <c r="D327" s="201"/>
      <c r="E327" s="201"/>
      <c r="F327" s="8"/>
      <c r="G327" s="8"/>
      <c r="H327" s="8"/>
      <c r="I327" s="8"/>
      <c r="J327" s="8"/>
      <c r="K327" s="8"/>
    </row>
    <row r="328" spans="1:13" ht="15" customHeight="1" x14ac:dyDescent="0.25">
      <c r="A328" s="45"/>
      <c r="B328"/>
      <c r="C328" s="8"/>
      <c r="D328" s="8">
        <f>D105/D131</f>
        <v>17.183333333333334</v>
      </c>
      <c r="E328" s="8" t="s">
        <v>274</v>
      </c>
      <c r="F328" s="8"/>
      <c r="G328" s="8"/>
      <c r="H328" s="8"/>
      <c r="I328" s="8"/>
      <c r="J328" s="8"/>
      <c r="K328" s="8"/>
    </row>
    <row r="329" spans="1:13" ht="15" customHeight="1" x14ac:dyDescent="0.25">
      <c r="A329" s="45"/>
      <c r="B329"/>
      <c r="C329" s="8"/>
      <c r="D329" s="8"/>
      <c r="E329" s="8"/>
      <c r="F329" s="8"/>
      <c r="G329" s="8"/>
      <c r="H329" s="8"/>
      <c r="I329" s="8"/>
      <c r="J329" s="8"/>
      <c r="K329" s="8"/>
    </row>
    <row r="330" spans="1:13" ht="31.5" customHeight="1" x14ac:dyDescent="0.2">
      <c r="A330" s="45"/>
      <c r="B330" s="485" t="s">
        <v>158</v>
      </c>
      <c r="C330" s="485"/>
      <c r="D330" s="485"/>
      <c r="E330" s="485"/>
      <c r="F330" s="44">
        <f>E324*0.41</f>
        <v>1832416.1023333331</v>
      </c>
      <c r="G330" s="114" t="s">
        <v>159</v>
      </c>
      <c r="H330" s="8"/>
      <c r="I330" s="8"/>
      <c r="J330" s="8"/>
      <c r="K330" s="8"/>
    </row>
    <row r="331" spans="1:13" ht="21.75" customHeight="1" x14ac:dyDescent="0.2">
      <c r="A331" s="45"/>
      <c r="B331" s="8" t="s">
        <v>275</v>
      </c>
      <c r="C331" s="8"/>
      <c r="D331" s="8"/>
      <c r="E331" s="8"/>
      <c r="F331" s="44">
        <f>E324+F330</f>
        <v>6301723.6689999998</v>
      </c>
      <c r="G331" s="114" t="s">
        <v>159</v>
      </c>
      <c r="H331" s="8"/>
      <c r="I331" s="8"/>
      <c r="J331" s="8"/>
      <c r="K331" s="8"/>
    </row>
    <row r="332" spans="1:13" ht="15" customHeight="1" x14ac:dyDescent="0.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</row>
    <row r="333" spans="1:13" ht="15" customHeight="1" x14ac:dyDescent="0.2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3" ht="15" customHeight="1" x14ac:dyDescent="0.5">
      <c r="A334" s="45"/>
      <c r="B334" s="164" t="s">
        <v>276</v>
      </c>
      <c r="C334" s="8"/>
      <c r="D334" s="8"/>
      <c r="E334" s="8"/>
      <c r="F334" s="195" t="s">
        <v>462</v>
      </c>
      <c r="G334" s="320"/>
      <c r="H334" s="8"/>
      <c r="I334" s="8"/>
      <c r="J334" s="8"/>
      <c r="K334" s="8"/>
    </row>
    <row r="335" spans="1:13" ht="15" customHeight="1" x14ac:dyDescent="0.2">
      <c r="A335" s="45"/>
      <c r="B335" s="8"/>
      <c r="C335" s="8"/>
      <c r="D335" s="8"/>
      <c r="E335" s="8"/>
      <c r="F335" s="8"/>
      <c r="G335" s="8"/>
      <c r="H335" s="8"/>
      <c r="I335" s="8"/>
      <c r="J335" s="8"/>
      <c r="K335" s="8"/>
    </row>
    <row r="336" spans="1:13" ht="15" customHeight="1" x14ac:dyDescent="0.2">
      <c r="A336" s="45"/>
      <c r="B336" s="8" t="s">
        <v>277</v>
      </c>
      <c r="C336" s="8"/>
      <c r="D336" s="8"/>
      <c r="E336" s="8"/>
      <c r="F336" s="8"/>
      <c r="G336" s="8"/>
      <c r="H336" s="8"/>
      <c r="I336" s="8"/>
      <c r="J336" s="8"/>
      <c r="K336" s="8"/>
    </row>
    <row r="337" spans="1:11" ht="15" customHeight="1" x14ac:dyDescent="0.25">
      <c r="A337" s="45"/>
      <c r="B337" s="8"/>
      <c r="C337" s="8"/>
      <c r="D337" s="8"/>
      <c r="E337" s="8"/>
      <c r="F337" s="8"/>
      <c r="G337" s="8"/>
      <c r="H337"/>
      <c r="I337"/>
      <c r="J337"/>
      <c r="K337" s="8"/>
    </row>
    <row r="338" spans="1:11" ht="15" customHeight="1" x14ac:dyDescent="0.2">
      <c r="A338" s="45"/>
      <c r="B338" s="8"/>
      <c r="C338" s="8"/>
      <c r="D338" s="8"/>
      <c r="E338" s="8"/>
      <c r="F338" s="8"/>
      <c r="G338" s="8"/>
      <c r="H338" s="8"/>
      <c r="I338" s="8"/>
      <c r="J338" s="8"/>
      <c r="K338" s="8"/>
    </row>
    <row r="339" spans="1:11" ht="15" customHeight="1" x14ac:dyDescent="0.3">
      <c r="A339" s="45"/>
      <c r="B339" s="8"/>
      <c r="C339" s="8"/>
      <c r="D339"/>
      <c r="E339" s="45" t="s">
        <v>278</v>
      </c>
      <c r="F339" s="268">
        <f>F79</f>
        <v>2</v>
      </c>
      <c r="G339" s="114" t="s">
        <v>279</v>
      </c>
      <c r="H339" s="321" t="s">
        <v>463</v>
      </c>
      <c r="I339" s="8"/>
      <c r="J339" s="8"/>
      <c r="K339" s="8"/>
    </row>
    <row r="340" spans="1:11" ht="15" customHeight="1" x14ac:dyDescent="0.2">
      <c r="A340" s="45"/>
      <c r="B340" s="8" t="s">
        <v>280</v>
      </c>
      <c r="C340" s="8"/>
      <c r="D340" s="8"/>
      <c r="E340" s="8"/>
      <c r="F340" s="8"/>
      <c r="G340" s="8"/>
      <c r="H340" s="184" t="s">
        <v>473</v>
      </c>
      <c r="I340" s="8"/>
      <c r="J340" s="8"/>
      <c r="K340" s="8"/>
    </row>
    <row r="341" spans="1:11" ht="15" customHeight="1" x14ac:dyDescent="0.2">
      <c r="A341" s="45"/>
      <c r="B341" s="8"/>
      <c r="C341" s="8"/>
      <c r="D341" s="8"/>
      <c r="E341" s="8"/>
      <c r="F341" s="8"/>
      <c r="G341" s="8"/>
      <c r="H341" s="8"/>
      <c r="I341" s="8"/>
      <c r="J341" s="8"/>
      <c r="K341" s="8"/>
    </row>
    <row r="342" spans="1:11" ht="15" customHeight="1" x14ac:dyDescent="0.2">
      <c r="A342" s="45"/>
      <c r="B342" s="8"/>
      <c r="C342" s="8"/>
      <c r="D342" s="8"/>
      <c r="E342" s="8"/>
      <c r="F342" s="8"/>
      <c r="G342" s="8"/>
      <c r="H342" s="8"/>
      <c r="I342" s="8"/>
      <c r="J342" s="8"/>
      <c r="K342" s="8"/>
    </row>
    <row r="343" spans="1:11" ht="15" customHeight="1" x14ac:dyDescent="0.2">
      <c r="A343" s="45"/>
      <c r="B343" s="8"/>
      <c r="C343" s="8"/>
      <c r="D343" s="8"/>
      <c r="E343" s="8"/>
      <c r="F343" s="8"/>
      <c r="G343" s="8"/>
      <c r="H343" s="8"/>
      <c r="I343" s="8"/>
      <c r="J343" s="8"/>
      <c r="K343" s="8"/>
    </row>
    <row r="344" spans="1:11" ht="15" customHeight="1" x14ac:dyDescent="0.2">
      <c r="A344" s="45"/>
      <c r="B344" s="8"/>
      <c r="C344" s="8"/>
      <c r="D344" s="8"/>
      <c r="E344" s="8"/>
      <c r="F344" s="8"/>
      <c r="G344" s="8"/>
      <c r="H344" s="8"/>
      <c r="I344" s="8"/>
      <c r="J344" s="8"/>
      <c r="K344" s="8"/>
    </row>
    <row r="345" spans="1:11" ht="15" customHeight="1" x14ac:dyDescent="0.2">
      <c r="A345" s="45"/>
      <c r="B345" s="8"/>
      <c r="C345" s="8"/>
      <c r="D345" s="8"/>
      <c r="E345" s="8"/>
      <c r="F345" s="8"/>
      <c r="G345" s="8"/>
      <c r="H345" s="8"/>
      <c r="I345" s="8"/>
      <c r="J345" s="8"/>
      <c r="K345" s="8"/>
    </row>
    <row r="346" spans="1:11" ht="15" customHeight="1" x14ac:dyDescent="0.2">
      <c r="A346" s="45"/>
      <c r="B346" s="8"/>
      <c r="C346" s="8"/>
      <c r="D346" s="8"/>
      <c r="E346" s="8"/>
      <c r="F346" s="8"/>
      <c r="G346" s="8"/>
      <c r="H346" s="8"/>
      <c r="I346" s="8"/>
      <c r="J346" s="8"/>
      <c r="K346" s="8"/>
    </row>
    <row r="347" spans="1:11" ht="15" customHeight="1" x14ac:dyDescent="0.2">
      <c r="A347" s="45"/>
      <c r="B347" s="8"/>
      <c r="C347" s="8"/>
      <c r="D347" s="8"/>
      <c r="E347" s="8"/>
      <c r="F347" s="8"/>
      <c r="G347" s="8"/>
      <c r="H347" s="8"/>
      <c r="I347" s="8"/>
      <c r="J347" s="8"/>
      <c r="K347" s="8"/>
    </row>
    <row r="348" spans="1:11" ht="15" customHeight="1" x14ac:dyDescent="0.2">
      <c r="A348" s="45"/>
      <c r="B348" s="8"/>
      <c r="C348" s="8"/>
      <c r="D348" s="8"/>
      <c r="E348" s="8"/>
      <c r="F348" s="8"/>
      <c r="G348" s="8"/>
      <c r="H348" s="8"/>
      <c r="I348" s="8"/>
      <c r="J348" s="8"/>
      <c r="K348" s="8"/>
    </row>
    <row r="349" spans="1:11" ht="15" customHeight="1" x14ac:dyDescent="0.2">
      <c r="A349" s="45"/>
      <c r="B349" s="8"/>
      <c r="C349" s="8"/>
      <c r="D349" s="8"/>
      <c r="E349" s="8"/>
      <c r="F349" s="8"/>
      <c r="G349" s="8"/>
      <c r="H349" s="8"/>
      <c r="I349" s="8"/>
      <c r="J349" s="8"/>
      <c r="K349" s="8"/>
    </row>
    <row r="350" spans="1:11" ht="15" customHeight="1" x14ac:dyDescent="0.2">
      <c r="A350" s="45"/>
      <c r="B350" s="8"/>
      <c r="C350" s="8"/>
      <c r="D350" s="8"/>
      <c r="E350" s="8"/>
      <c r="F350" s="8"/>
      <c r="G350" s="8"/>
      <c r="H350" s="8"/>
      <c r="I350" s="8"/>
      <c r="J350" s="8"/>
      <c r="K350" s="8"/>
    </row>
    <row r="351" spans="1:11" ht="15" customHeight="1" x14ac:dyDescent="0.2">
      <c r="A351" s="45"/>
      <c r="B351" s="8"/>
      <c r="C351" s="8"/>
      <c r="D351" s="8"/>
      <c r="E351" s="8"/>
      <c r="F351" s="8"/>
      <c r="G351" s="8"/>
      <c r="H351" s="8"/>
      <c r="I351" s="8"/>
      <c r="J351" s="8"/>
      <c r="K351" s="8"/>
    </row>
    <row r="352" spans="1:11" ht="15" customHeight="1" x14ac:dyDescent="0.2">
      <c r="A352" s="45"/>
      <c r="B352" s="8"/>
      <c r="C352" s="8"/>
      <c r="D352" s="8"/>
      <c r="E352" s="8"/>
      <c r="F352" s="8"/>
      <c r="G352" s="8"/>
      <c r="H352" s="8"/>
      <c r="I352" s="8"/>
      <c r="J352" s="8"/>
      <c r="K352" s="8"/>
    </row>
    <row r="353" spans="1:11" ht="15" customHeight="1" x14ac:dyDescent="0.2">
      <c r="A353" s="45"/>
      <c r="B353" s="8"/>
      <c r="C353" s="8"/>
      <c r="D353" s="8"/>
      <c r="E353" s="8"/>
      <c r="F353" s="8"/>
      <c r="G353" s="8"/>
      <c r="H353" s="8"/>
      <c r="I353" s="8"/>
      <c r="J353" s="8"/>
      <c r="K353" s="8"/>
    </row>
    <row r="354" spans="1:11" ht="15" customHeight="1" x14ac:dyDescent="0.2">
      <c r="A354" s="45"/>
      <c r="B354" s="8"/>
      <c r="C354" s="8"/>
      <c r="D354" s="8"/>
      <c r="E354" s="8"/>
      <c r="F354" s="8"/>
      <c r="G354" s="8"/>
      <c r="H354" s="8"/>
      <c r="I354" s="8"/>
      <c r="J354" s="8"/>
      <c r="K354" s="8"/>
    </row>
    <row r="355" spans="1:11" ht="15" customHeight="1" x14ac:dyDescent="0.2">
      <c r="A355" s="45"/>
      <c r="B355" s="8" t="s">
        <v>281</v>
      </c>
      <c r="C355" s="8"/>
      <c r="D355" s="8"/>
      <c r="E355" s="8"/>
      <c r="F355" s="8"/>
      <c r="G355" s="8"/>
      <c r="H355" s="8"/>
      <c r="I355" s="8"/>
      <c r="J355" s="8"/>
      <c r="K355" s="8"/>
    </row>
    <row r="356" spans="1:11" ht="15" customHeight="1" x14ac:dyDescent="0.2">
      <c r="A356" s="45"/>
      <c r="B356" s="8"/>
      <c r="C356" s="8"/>
      <c r="D356" s="8"/>
      <c r="E356" s="8"/>
      <c r="F356" s="8"/>
      <c r="G356" s="8"/>
      <c r="H356" s="8"/>
      <c r="I356" s="8"/>
      <c r="J356" s="8"/>
      <c r="K356" s="8"/>
    </row>
    <row r="357" spans="1:11" ht="15" customHeight="1" x14ac:dyDescent="0.2">
      <c r="A357" s="45"/>
      <c r="B357" s="8"/>
      <c r="C357" s="8"/>
      <c r="D357" s="8"/>
      <c r="E357" s="44">
        <f>IF(AND(E360&gt;=0.16,E360&lt;=54.5),1000*72.9*E360^0.716,"Fora da faixa de variacao da curva!")</f>
        <v>38373.54944307125</v>
      </c>
      <c r="F357" s="114" t="s">
        <v>159</v>
      </c>
      <c r="G357" s="8"/>
      <c r="H357" s="8"/>
      <c r="I357" s="8"/>
      <c r="J357" s="8"/>
      <c r="K357" s="8"/>
    </row>
    <row r="358" spans="1:11" ht="15" customHeight="1" x14ac:dyDescent="0.2">
      <c r="A358" s="45"/>
      <c r="B358" s="8"/>
      <c r="C358" s="8"/>
      <c r="D358" s="8"/>
      <c r="E358" s="8"/>
      <c r="F358" s="8"/>
      <c r="G358" s="8"/>
      <c r="H358" s="8"/>
      <c r="I358" s="8"/>
      <c r="J358" s="8"/>
      <c r="K358" s="8"/>
    </row>
    <row r="359" spans="1:11" ht="15" customHeight="1" x14ac:dyDescent="0.2">
      <c r="A359" s="45"/>
      <c r="B359" s="45" t="s">
        <v>65</v>
      </c>
      <c r="C359" s="8"/>
      <c r="D359" s="8"/>
      <c r="E359" s="8"/>
      <c r="F359" s="8"/>
      <c r="G359" s="8"/>
      <c r="H359" s="8"/>
      <c r="I359" s="8"/>
      <c r="J359" s="8"/>
      <c r="K359" s="8"/>
    </row>
    <row r="360" spans="1:11" ht="15" customHeight="1" x14ac:dyDescent="0.25">
      <c r="A360" s="45"/>
      <c r="B360"/>
      <c r="C360"/>
      <c r="D360" s="8"/>
      <c r="E360" s="8">
        <f>D366^2*D364*E362/1000</f>
        <v>0.40809417540218706</v>
      </c>
      <c r="F360" s="8" t="s">
        <v>157</v>
      </c>
      <c r="G360" s="8"/>
      <c r="H360" s="168"/>
      <c r="I360" s="8"/>
      <c r="J360" s="8"/>
      <c r="K360" s="8"/>
    </row>
    <row r="361" spans="1:11" ht="15" customHeight="1" x14ac:dyDescent="0.2">
      <c r="A361" s="45"/>
      <c r="B361" s="8"/>
      <c r="C361" s="8"/>
      <c r="D361" s="8"/>
      <c r="E361" s="8"/>
      <c r="F361" s="8"/>
      <c r="G361" s="8"/>
      <c r="H361" s="8"/>
      <c r="I361" s="8"/>
      <c r="J361" s="8"/>
      <c r="K361" s="8"/>
    </row>
    <row r="362" spans="1:11" ht="15" customHeight="1" x14ac:dyDescent="0.25">
      <c r="A362" s="45"/>
      <c r="B362" s="8"/>
      <c r="C362"/>
      <c r="D362" s="8"/>
      <c r="E362" s="8">
        <f>C26-D156+D173/2</f>
        <v>11.17200833929048</v>
      </c>
      <c r="F362" s="8" t="s">
        <v>1</v>
      </c>
      <c r="G362" s="8"/>
      <c r="H362" s="8"/>
      <c r="I362" s="8"/>
      <c r="J362" s="8"/>
      <c r="K362" s="8"/>
    </row>
    <row r="363" spans="1:11" ht="15" customHeight="1" x14ac:dyDescent="0.25">
      <c r="A363" s="45"/>
      <c r="B363" s="8"/>
      <c r="C363"/>
      <c r="D363"/>
      <c r="E363"/>
      <c r="F363"/>
      <c r="G363" s="8"/>
      <c r="H363" s="8"/>
      <c r="I363" s="8"/>
      <c r="J363" s="8"/>
      <c r="K363" s="8"/>
    </row>
    <row r="364" spans="1:11" ht="15" customHeight="1" x14ac:dyDescent="0.3">
      <c r="A364" s="45"/>
      <c r="B364" s="8"/>
      <c r="C364" s="8" t="s">
        <v>282</v>
      </c>
      <c r="D364" s="8">
        <f>D173</f>
        <v>3.3180000000000005</v>
      </c>
      <c r="E364" s="8" t="s">
        <v>1</v>
      </c>
      <c r="F364" s="8"/>
      <c r="G364" s="8"/>
      <c r="H364" s="8"/>
      <c r="I364" s="8"/>
      <c r="J364" s="8"/>
      <c r="K364" s="8"/>
    </row>
    <row r="365" spans="1:11" ht="15" customHeight="1" x14ac:dyDescent="0.2">
      <c r="A365" s="45"/>
      <c r="B365" s="8"/>
      <c r="C365" s="8"/>
      <c r="D365" s="8"/>
      <c r="E365" s="8"/>
      <c r="F365" s="8"/>
      <c r="G365" s="8"/>
      <c r="H365" s="8"/>
      <c r="I365" s="8"/>
      <c r="J365" s="8"/>
      <c r="K365" s="8"/>
    </row>
    <row r="366" spans="1:11" ht="15" customHeight="1" x14ac:dyDescent="0.2">
      <c r="A366" s="45"/>
      <c r="B366" s="8"/>
      <c r="C366" s="8"/>
      <c r="D366" s="8">
        <f>D171</f>
        <v>3.3180000000000005</v>
      </c>
      <c r="E366" s="8" t="s">
        <v>1</v>
      </c>
      <c r="F366" s="8"/>
      <c r="G366" s="8"/>
      <c r="H366" s="8"/>
      <c r="I366" s="8"/>
      <c r="J366" s="8"/>
      <c r="K366" s="8"/>
    </row>
    <row r="367" spans="1:11" ht="15" customHeight="1" x14ac:dyDescent="0.2">
      <c r="A367" s="45"/>
      <c r="B367" s="8"/>
      <c r="C367" s="8"/>
      <c r="D367" s="8"/>
      <c r="E367" s="8"/>
      <c r="F367" s="8"/>
      <c r="G367" s="8"/>
      <c r="H367" s="8"/>
      <c r="I367" s="8"/>
      <c r="J367" s="8"/>
      <c r="K367" s="8"/>
    </row>
    <row r="368" spans="1:11" ht="29.25" customHeight="1" x14ac:dyDescent="0.2">
      <c r="A368" s="45"/>
      <c r="B368" s="465" t="s">
        <v>158</v>
      </c>
      <c r="C368" s="465"/>
      <c r="D368" s="465"/>
      <c r="E368" s="465"/>
      <c r="F368" s="44">
        <f>E357*0.41</f>
        <v>15733.155271659212</v>
      </c>
      <c r="G368" s="114" t="s">
        <v>159</v>
      </c>
      <c r="H368" s="8"/>
      <c r="I368" s="8"/>
      <c r="J368" s="8"/>
      <c r="K368" s="8"/>
    </row>
    <row r="369" spans="1:11" ht="21.75" customHeight="1" x14ac:dyDescent="0.2">
      <c r="A369" s="45"/>
      <c r="B369" s="8" t="s">
        <v>160</v>
      </c>
      <c r="C369" s="8"/>
      <c r="D369" s="8"/>
      <c r="E369" s="8"/>
      <c r="F369" s="44">
        <f>E357+F368</f>
        <v>54106.704714730462</v>
      </c>
      <c r="G369" s="114" t="s">
        <v>159</v>
      </c>
      <c r="H369" s="8"/>
      <c r="I369" s="8"/>
      <c r="J369" s="8"/>
      <c r="K369" s="8"/>
    </row>
    <row r="370" spans="1:11" ht="15" customHeight="1" x14ac:dyDescent="0.2">
      <c r="A370" s="45"/>
      <c r="B370" s="8"/>
      <c r="C370" s="8"/>
      <c r="D370" s="8"/>
      <c r="E370" s="8"/>
      <c r="F370" s="8"/>
      <c r="G370" s="8"/>
      <c r="H370" s="8"/>
      <c r="I370" s="8"/>
      <c r="J370" s="8"/>
      <c r="K370" s="8"/>
    </row>
    <row r="371" spans="1:11" ht="15" customHeight="1" x14ac:dyDescent="0.2">
      <c r="A371" s="45"/>
      <c r="B371" s="8" t="s">
        <v>283</v>
      </c>
      <c r="C371" s="8"/>
      <c r="D371" s="8"/>
      <c r="E371" s="8"/>
      <c r="F371" s="8"/>
      <c r="G371" s="8"/>
      <c r="H371" s="8"/>
      <c r="I371" s="8"/>
      <c r="J371" s="8"/>
      <c r="K371" s="8"/>
    </row>
    <row r="372" spans="1:11" ht="15" customHeight="1" x14ac:dyDescent="0.2">
      <c r="A372" s="45"/>
      <c r="B372" s="8"/>
      <c r="C372" s="8"/>
      <c r="D372" s="8"/>
      <c r="E372" s="8"/>
      <c r="F372" s="8"/>
      <c r="G372" s="8"/>
      <c r="H372" s="8"/>
      <c r="I372" s="8"/>
      <c r="J372" s="8"/>
      <c r="K372" s="8"/>
    </row>
    <row r="373" spans="1:11" ht="15" customHeight="1" x14ac:dyDescent="0.2">
      <c r="A373" s="45"/>
      <c r="B373" s="8"/>
      <c r="C373" s="8"/>
      <c r="D373" s="8"/>
      <c r="E373" s="268">
        <f>2*F90*(E362+2)*2084.8</f>
        <v>109844.01194301118</v>
      </c>
      <c r="F373" s="114" t="s">
        <v>76</v>
      </c>
      <c r="G373" s="8"/>
      <c r="H373" s="8"/>
      <c r="I373" s="8"/>
      <c r="J373" s="8"/>
      <c r="K373" s="8"/>
    </row>
    <row r="374" spans="1:11" ht="15" customHeight="1" x14ac:dyDescent="0.2">
      <c r="A374" s="45"/>
      <c r="B374" s="8"/>
      <c r="C374" s="8"/>
      <c r="D374" s="8"/>
      <c r="E374" s="268"/>
      <c r="F374" s="114"/>
      <c r="G374" s="8"/>
      <c r="H374" s="8"/>
      <c r="I374" s="8"/>
      <c r="J374" s="8"/>
      <c r="K374" s="8"/>
    </row>
    <row r="375" spans="1:11" ht="30" customHeight="1" x14ac:dyDescent="0.2">
      <c r="A375" s="45"/>
      <c r="B375" s="465" t="s">
        <v>158</v>
      </c>
      <c r="C375" s="465"/>
      <c r="D375" s="465"/>
      <c r="E375" s="465"/>
      <c r="F375" s="44">
        <f>E373*0.41</f>
        <v>45036.044896634579</v>
      </c>
      <c r="G375" s="114" t="s">
        <v>76</v>
      </c>
      <c r="H375" s="8"/>
      <c r="I375" s="8"/>
      <c r="J375" s="8"/>
      <c r="K375" s="8"/>
    </row>
    <row r="376" spans="1:11" ht="24" customHeight="1" x14ac:dyDescent="0.2">
      <c r="A376" s="45"/>
      <c r="B376" s="8" t="s">
        <v>167</v>
      </c>
      <c r="C376" s="8"/>
      <c r="D376" s="8"/>
      <c r="E376" s="8"/>
      <c r="F376" s="44">
        <f>E373+F375</f>
        <v>154880.05683964575</v>
      </c>
      <c r="G376" s="114" t="s">
        <v>76</v>
      </c>
      <c r="H376" s="8"/>
      <c r="I376" s="8"/>
      <c r="J376" s="8"/>
      <c r="K376" s="8"/>
    </row>
    <row r="377" spans="1:11" ht="15" customHeight="1" x14ac:dyDescent="0.2">
      <c r="A377" s="45"/>
      <c r="B377" s="8"/>
      <c r="C377" s="8"/>
      <c r="D377" s="8"/>
      <c r="E377" s="8"/>
      <c r="F377" s="8"/>
      <c r="G377" s="8"/>
      <c r="H377" s="8"/>
      <c r="I377" s="8"/>
      <c r="J377" s="8"/>
      <c r="K377" s="8"/>
    </row>
    <row r="378" spans="1:11" ht="15" customHeight="1" x14ac:dyDescent="0.2">
      <c r="A378" s="45"/>
      <c r="B378" s="8"/>
      <c r="C378" s="8"/>
      <c r="D378" s="8"/>
      <c r="E378" s="8"/>
      <c r="F378" s="8"/>
      <c r="G378" s="8"/>
      <c r="H378" s="8"/>
      <c r="I378" s="8"/>
      <c r="J378" s="8"/>
      <c r="K378" s="8"/>
    </row>
    <row r="379" spans="1:11" ht="15" customHeight="1" x14ac:dyDescent="0.5">
      <c r="A379" s="8"/>
      <c r="B379" s="164" t="s">
        <v>284</v>
      </c>
      <c r="C379" s="8"/>
      <c r="D379" s="8"/>
      <c r="E379" s="8"/>
      <c r="F379" s="8"/>
      <c r="G379" s="8"/>
      <c r="H379" s="8"/>
      <c r="I379" s="8"/>
      <c r="J379" s="8"/>
      <c r="K379" s="8"/>
    </row>
    <row r="380" spans="1:11" ht="15" customHeight="1" x14ac:dyDescent="0.2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</row>
    <row r="381" spans="1:11" ht="15" customHeight="1" x14ac:dyDescent="0.2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</row>
    <row r="382" spans="1:11" ht="15" customHeight="1" x14ac:dyDescent="0.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</row>
    <row r="383" spans="1:11" ht="15" customHeight="1" x14ac:dyDescent="0.2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</row>
    <row r="384" spans="1:11" ht="15" customHeight="1" x14ac:dyDescent="0.2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</row>
    <row r="385" spans="1:13" ht="15" customHeight="1" x14ac:dyDescent="0.2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</row>
    <row r="386" spans="1:13" ht="15" customHeight="1" x14ac:dyDescent="0.2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</row>
    <row r="387" spans="1:13" ht="15" customHeight="1" x14ac:dyDescent="0.2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</row>
    <row r="388" spans="1:13" ht="15" customHeight="1" x14ac:dyDescent="0.2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</row>
    <row r="389" spans="1:13" ht="15" customHeight="1" x14ac:dyDescent="0.2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</row>
    <row r="390" spans="1:13" ht="15" customHeight="1" x14ac:dyDescent="0.2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</row>
    <row r="391" spans="1:13" ht="15" customHeight="1" x14ac:dyDescent="0.2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</row>
    <row r="392" spans="1:13" ht="15" customHeight="1" x14ac:dyDescent="0.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</row>
    <row r="393" spans="1:13" ht="15" customHeight="1" x14ac:dyDescent="0.2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</row>
    <row r="394" spans="1:13" ht="15" customHeight="1" x14ac:dyDescent="0.2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</row>
    <row r="395" spans="1:13" ht="15" customHeight="1" x14ac:dyDescent="0.2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</row>
    <row r="396" spans="1:13" ht="15" customHeight="1" x14ac:dyDescent="0.2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</row>
    <row r="397" spans="1:13" ht="15" customHeight="1" x14ac:dyDescent="0.2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</row>
    <row r="398" spans="1:13" ht="15" customHeight="1" x14ac:dyDescent="0.2">
      <c r="A398" s="8"/>
      <c r="B398" s="8" t="s">
        <v>445</v>
      </c>
      <c r="C398" s="8"/>
      <c r="D398" s="8"/>
      <c r="E398" s="8"/>
      <c r="F398" s="8"/>
      <c r="G398" s="8"/>
      <c r="H398" s="8"/>
      <c r="I398" s="8"/>
      <c r="J398" s="8"/>
      <c r="K398" s="8"/>
    </row>
    <row r="399" spans="1:13" ht="15" customHeight="1" x14ac:dyDescent="0.2">
      <c r="A399" s="8"/>
      <c r="B399" s="8"/>
      <c r="C399" s="8"/>
      <c r="D399" s="8"/>
      <c r="E399" s="8"/>
      <c r="F399" s="8"/>
      <c r="G399" s="8"/>
      <c r="H399" s="8"/>
      <c r="I399" s="184" t="s">
        <v>622</v>
      </c>
      <c r="J399" s="8"/>
      <c r="K399" s="8"/>
      <c r="L399" s="8"/>
      <c r="M399" s="321" t="s">
        <v>623</v>
      </c>
    </row>
    <row r="400" spans="1:13" ht="15" customHeight="1" x14ac:dyDescent="0.2">
      <c r="A400" s="8"/>
      <c r="B400" s="8" t="s">
        <v>446</v>
      </c>
      <c r="C400" s="8"/>
      <c r="D400" s="8"/>
      <c r="E400" s="8"/>
      <c r="F400" s="8"/>
      <c r="G400" s="8"/>
      <c r="H400" s="201"/>
      <c r="I400" s="184" t="s">
        <v>618</v>
      </c>
      <c r="J400" s="8"/>
      <c r="K400" s="46"/>
      <c r="L400" s="458">
        <v>1.4999999999999999E-2</v>
      </c>
      <c r="M400" s="459"/>
    </row>
    <row r="401" spans="1:13" ht="15" customHeight="1" x14ac:dyDescent="0.2">
      <c r="A401" s="8"/>
      <c r="B401" s="8"/>
      <c r="C401" s="8"/>
      <c r="D401" s="8"/>
      <c r="E401" s="8"/>
      <c r="F401" s="8"/>
      <c r="G401" s="8"/>
      <c r="H401" s="8"/>
      <c r="I401" s="184" t="s">
        <v>619</v>
      </c>
      <c r="J401" s="184"/>
      <c r="K401" s="460"/>
      <c r="L401" s="461">
        <v>2</v>
      </c>
      <c r="M401" s="8"/>
    </row>
    <row r="402" spans="1:13" ht="15" customHeight="1" x14ac:dyDescent="0.2">
      <c r="A402" s="8"/>
      <c r="B402" s="8" t="s">
        <v>65</v>
      </c>
      <c r="C402" s="8"/>
      <c r="D402" s="8"/>
      <c r="E402" s="8"/>
      <c r="F402" s="8"/>
      <c r="G402" s="8"/>
      <c r="H402" s="8"/>
      <c r="I402" s="8"/>
      <c r="J402" s="8"/>
      <c r="K402" s="8"/>
    </row>
    <row r="403" spans="1:13" ht="15" customHeight="1" x14ac:dyDescent="0.2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</row>
    <row r="404" spans="1:13" ht="15" customHeight="1" x14ac:dyDescent="0.2">
      <c r="A404" s="486"/>
      <c r="B404" s="486"/>
      <c r="C404" s="8"/>
      <c r="D404" s="8">
        <f>D406/D131</f>
        <v>1.8518518518518517E-2</v>
      </c>
      <c r="E404" s="8" t="s">
        <v>285</v>
      </c>
      <c r="F404" s="8"/>
      <c r="G404" s="8"/>
      <c r="H404" s="8"/>
      <c r="I404" s="8"/>
      <c r="J404" s="8"/>
      <c r="K404" s="8"/>
    </row>
    <row r="405" spans="1:13" ht="15" customHeight="1" x14ac:dyDescent="0.2">
      <c r="A405" s="45"/>
      <c r="B405" s="45"/>
      <c r="C405" s="8"/>
      <c r="D405" s="8"/>
      <c r="E405" s="8"/>
      <c r="F405" s="8"/>
      <c r="G405" s="8"/>
      <c r="H405" s="8"/>
      <c r="I405" s="8"/>
      <c r="J405" s="8"/>
      <c r="K405" s="8"/>
    </row>
    <row r="406" spans="1:13" ht="15" customHeight="1" x14ac:dyDescent="0.2">
      <c r="A406" s="45"/>
      <c r="B406" s="10"/>
      <c r="C406" s="8"/>
      <c r="D406" s="8">
        <f>D96/C19</f>
        <v>5.5555555555555554</v>
      </c>
      <c r="E406" s="8" t="s">
        <v>286</v>
      </c>
      <c r="F406" s="8"/>
      <c r="G406" s="8"/>
      <c r="H406" s="8"/>
      <c r="I406" s="8"/>
      <c r="J406" s="8"/>
      <c r="K406" s="8"/>
    </row>
    <row r="407" spans="1:13" ht="15" customHeight="1" x14ac:dyDescent="0.2">
      <c r="A407" s="45"/>
      <c r="B407" s="45"/>
      <c r="C407" s="8"/>
      <c r="D407" s="8"/>
      <c r="E407" s="8"/>
      <c r="F407" s="8"/>
      <c r="G407" s="8"/>
      <c r="H407" s="8"/>
      <c r="I407" s="8"/>
      <c r="J407" s="8"/>
      <c r="K407" s="8"/>
    </row>
    <row r="408" spans="1:13" s="8" customFormat="1" ht="15" customHeight="1" x14ac:dyDescent="0.25">
      <c r="A408" s="10" t="s">
        <v>287</v>
      </c>
      <c r="B408"/>
      <c r="C408"/>
      <c r="E408" s="169"/>
    </row>
    <row r="409" spans="1:13" s="8" customFormat="1" ht="15" customHeight="1" x14ac:dyDescent="0.25">
      <c r="C409"/>
      <c r="D409"/>
      <c r="E409"/>
    </row>
    <row r="410" spans="1:13" s="8" customFormat="1" ht="15" customHeight="1" x14ac:dyDescent="0.2">
      <c r="C410" s="5" t="s">
        <v>288</v>
      </c>
      <c r="D410" s="47">
        <f>IF(AND(D404&gt;=0.015,D404&lt;=2),1000*(10300*LN(D404)+43600), "Relacao MVA/rpm fora da validade do grafico B15.")</f>
        <v>2513464.3203879748</v>
      </c>
      <c r="E410" s="114" t="s">
        <v>159</v>
      </c>
    </row>
    <row r="411" spans="1:13" s="8" customFormat="1" ht="15" customHeight="1" x14ac:dyDescent="0.2">
      <c r="C411" s="5"/>
      <c r="D411" s="170"/>
      <c r="E411" s="114"/>
    </row>
    <row r="412" spans="1:13" s="8" customFormat="1" ht="29.25" customHeight="1" x14ac:dyDescent="0.2">
      <c r="A412" s="465" t="s">
        <v>158</v>
      </c>
      <c r="B412" s="465"/>
      <c r="C412" s="465"/>
      <c r="D412" s="465"/>
      <c r="E412" s="44">
        <f>D410*0.41</f>
        <v>1030520.3713590696</v>
      </c>
      <c r="F412" s="114" t="s">
        <v>159</v>
      </c>
    </row>
    <row r="413" spans="1:13" s="8" customFormat="1" ht="25.5" customHeight="1" x14ac:dyDescent="0.2">
      <c r="A413" s="8" t="s">
        <v>289</v>
      </c>
      <c r="E413" s="44">
        <f>D410+E412</f>
        <v>3543984.6917470442</v>
      </c>
      <c r="F413" s="114" t="s">
        <v>159</v>
      </c>
    </row>
    <row r="414" spans="1:13" s="8" customFormat="1" ht="15" customHeight="1" x14ac:dyDescent="0.2">
      <c r="C414" s="5"/>
      <c r="D414" s="47"/>
      <c r="E414" s="114"/>
    </row>
    <row r="415" spans="1:13" ht="15" customHeight="1" x14ac:dyDescent="0.25">
      <c r="A415" s="8"/>
      <c r="B415" s="8"/>
      <c r="C415"/>
      <c r="D415"/>
      <c r="E415"/>
      <c r="F415" s="8"/>
      <c r="G415" s="8"/>
      <c r="H415" s="8"/>
      <c r="I415" s="8"/>
      <c r="J415" s="8"/>
      <c r="K415" s="8"/>
    </row>
    <row r="416" spans="1:13" ht="15" customHeight="1" x14ac:dyDescent="0.5">
      <c r="A416" s="45"/>
      <c r="B416" s="164" t="s">
        <v>290</v>
      </c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15" customHeight="1" x14ac:dyDescent="0.5">
      <c r="A417" s="45"/>
      <c r="B417" s="164"/>
      <c r="C417" s="8"/>
      <c r="D417" s="8"/>
      <c r="E417" s="8"/>
      <c r="F417" s="8"/>
      <c r="G417" s="8"/>
      <c r="H417" s="8"/>
      <c r="I417" s="8"/>
      <c r="J417" s="8"/>
      <c r="K417" s="8"/>
    </row>
    <row r="418" spans="1:11" ht="15" customHeight="1" x14ac:dyDescent="0.25">
      <c r="A418" s="45"/>
      <c r="B418" s="10" t="s">
        <v>291</v>
      </c>
      <c r="C418" s="8"/>
      <c r="D418"/>
      <c r="E418" s="8"/>
      <c r="F418" s="8"/>
      <c r="G418" s="8"/>
      <c r="H418" s="8"/>
      <c r="I418" s="8"/>
      <c r="J418" s="8"/>
      <c r="K418" s="8"/>
    </row>
    <row r="419" spans="1:11" ht="15" customHeight="1" x14ac:dyDescent="0.2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</row>
    <row r="420" spans="1:11" ht="15" customHeight="1" x14ac:dyDescent="0.5">
      <c r="A420" s="45"/>
      <c r="B420" s="164" t="s">
        <v>292</v>
      </c>
      <c r="C420" s="8"/>
      <c r="D420" s="8"/>
      <c r="E420" s="8"/>
      <c r="F420" s="8"/>
      <c r="G420" s="8"/>
      <c r="H420" s="8"/>
      <c r="I420" s="8"/>
      <c r="J420" s="8"/>
      <c r="K420" s="8"/>
    </row>
    <row r="421" spans="1:11" ht="15" customHeight="1" x14ac:dyDescent="0.2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</row>
    <row r="422" spans="1:11" ht="15" customHeight="1" x14ac:dyDescent="0.2">
      <c r="A422" s="8"/>
      <c r="B422" s="8" t="s">
        <v>293</v>
      </c>
      <c r="C422" s="8"/>
      <c r="D422" s="8"/>
      <c r="E422" s="8"/>
      <c r="F422" s="8"/>
      <c r="G422" s="8"/>
      <c r="H422" s="8"/>
      <c r="I422" s="8"/>
      <c r="J422" s="8"/>
      <c r="K422" s="8"/>
    </row>
    <row r="423" spans="1:11" ht="15" customHeight="1" x14ac:dyDescent="0.2">
      <c r="A423" s="8"/>
      <c r="B423" s="8" t="s">
        <v>447</v>
      </c>
      <c r="C423" s="8"/>
      <c r="D423" s="8"/>
      <c r="E423" s="8"/>
      <c r="F423" s="8"/>
      <c r="G423" s="8"/>
      <c r="H423" s="8"/>
      <c r="I423" s="8"/>
      <c r="J423" s="8"/>
      <c r="K423" s="8"/>
    </row>
    <row r="424" spans="1:11" ht="15" customHeight="1" x14ac:dyDescent="0.2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</row>
    <row r="425" spans="1:11" ht="15" customHeight="1" x14ac:dyDescent="0.2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</row>
    <row r="426" spans="1:11" ht="15" customHeight="1" x14ac:dyDescent="0.2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</row>
    <row r="427" spans="1:11" ht="15" customHeight="1" x14ac:dyDescent="0.2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</row>
    <row r="428" spans="1:11" ht="15" customHeight="1" x14ac:dyDescent="0.2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</row>
    <row r="429" spans="1:11" ht="15" customHeight="1" x14ac:dyDescent="0.2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</row>
    <row r="430" spans="1:11" ht="15" customHeight="1" x14ac:dyDescent="0.2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</row>
    <row r="431" spans="1:11" ht="15" customHeight="1" x14ac:dyDescent="0.2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</row>
    <row r="432" spans="1:11" ht="15" customHeight="1" x14ac:dyDescent="0.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</row>
    <row r="433" spans="1:12" ht="15" customHeight="1" x14ac:dyDescent="0.2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</row>
    <row r="434" spans="1:12" ht="15" customHeight="1" x14ac:dyDescent="0.2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</row>
    <row r="435" spans="1:12" ht="15" customHeight="1" x14ac:dyDescent="0.2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</row>
    <row r="436" spans="1:12" ht="15" customHeight="1" x14ac:dyDescent="0.2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</row>
    <row r="437" spans="1:12" ht="15" customHeight="1" x14ac:dyDescent="0.2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</row>
    <row r="438" spans="1:12" ht="15" customHeight="1" x14ac:dyDescent="0.2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</row>
    <row r="439" spans="1:12" ht="15" customHeight="1" x14ac:dyDescent="0.2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</row>
    <row r="440" spans="1:12" ht="15" customHeight="1" x14ac:dyDescent="0.2">
      <c r="A440" s="8"/>
      <c r="B440" s="8" t="s">
        <v>294</v>
      </c>
      <c r="C440" s="8"/>
      <c r="D440" s="8"/>
      <c r="E440" s="8"/>
      <c r="F440" s="8"/>
      <c r="G440" s="8"/>
      <c r="H440" s="8"/>
      <c r="I440" s="8"/>
      <c r="J440" s="8"/>
      <c r="K440" s="8"/>
    </row>
    <row r="441" spans="1:12" ht="15" customHeight="1" x14ac:dyDescent="0.2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</row>
    <row r="442" spans="1:12" ht="15" customHeight="1" x14ac:dyDescent="0.25">
      <c r="A442" s="8"/>
      <c r="B442" s="8" t="s">
        <v>295</v>
      </c>
      <c r="C442" s="8"/>
      <c r="D442"/>
      <c r="E442" s="44" t="str">
        <f>IF(AND(D445&gt;=22,D445&lt;=6700),1000*(25.12*((D445)^0.6961)),"ERRO. Fora da validade da curva!")</f>
        <v>ERRO. Fora da validade da curva!</v>
      </c>
      <c r="F442" s="114" t="s">
        <v>76</v>
      </c>
      <c r="G442" s="8"/>
      <c r="H442" s="8"/>
      <c r="I442" s="184" t="s">
        <v>620</v>
      </c>
      <c r="J442" s="8"/>
      <c r="K442" s="46"/>
      <c r="L442" s="457">
        <v>22</v>
      </c>
    </row>
    <row r="443" spans="1:12" ht="15" customHeight="1" x14ac:dyDescent="0.2">
      <c r="A443" s="8"/>
      <c r="B443" s="8"/>
      <c r="C443" s="8"/>
      <c r="D443" s="114"/>
      <c r="E443" s="114"/>
      <c r="F443" s="8"/>
      <c r="G443" s="8"/>
      <c r="H443" s="8"/>
      <c r="I443" s="184" t="s">
        <v>621</v>
      </c>
      <c r="J443" s="184"/>
      <c r="K443" s="460"/>
      <c r="L443" s="457">
        <f>6000/0.9</f>
        <v>6666.6666666666661</v>
      </c>
    </row>
    <row r="444" spans="1:12" ht="15" customHeight="1" x14ac:dyDescent="0.2">
      <c r="A444" s="8"/>
      <c r="B444" s="45" t="s">
        <v>65</v>
      </c>
      <c r="C444" s="8"/>
      <c r="D444" s="8"/>
      <c r="E444" s="8"/>
      <c r="F444" s="8"/>
      <c r="G444" s="8"/>
      <c r="H444" s="8"/>
      <c r="I444" s="8"/>
      <c r="J444" s="8"/>
      <c r="K444" s="8"/>
    </row>
    <row r="445" spans="1:12" ht="24" customHeight="1" x14ac:dyDescent="0.25">
      <c r="A445" s="8"/>
      <c r="B445" s="8"/>
      <c r="C445"/>
      <c r="D445" s="8">
        <f>1000*D447/D131</f>
        <v>18.518518518518519</v>
      </c>
      <c r="E445" s="8" t="s">
        <v>296</v>
      </c>
      <c r="F445"/>
      <c r="G445" s="8"/>
      <c r="H445" s="8"/>
      <c r="I445" s="8"/>
      <c r="J445" s="8"/>
      <c r="K445" s="8"/>
    </row>
    <row r="446" spans="1:12" ht="15" customHeight="1" x14ac:dyDescent="0.2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</row>
    <row r="447" spans="1:12" ht="15" customHeight="1" x14ac:dyDescent="0.2">
      <c r="A447" s="8"/>
      <c r="B447" s="8"/>
      <c r="C447" s="8"/>
      <c r="D447" s="8">
        <f>D96/C19</f>
        <v>5.5555555555555554</v>
      </c>
      <c r="E447" s="8" t="s">
        <v>286</v>
      </c>
      <c r="F447" s="8"/>
      <c r="G447" s="8"/>
      <c r="H447" s="8"/>
      <c r="I447" s="8"/>
      <c r="J447" s="8"/>
      <c r="K447" s="8"/>
    </row>
    <row r="448" spans="1:12" ht="15" customHeight="1" x14ac:dyDescent="0.2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</row>
    <row r="449" spans="1:11" ht="30" customHeight="1" x14ac:dyDescent="0.2">
      <c r="A449" s="8"/>
      <c r="B449" s="465" t="s">
        <v>158</v>
      </c>
      <c r="C449" s="465"/>
      <c r="D449" s="465"/>
      <c r="E449" s="465"/>
      <c r="F449" s="44" t="e">
        <f>E442*0.41</f>
        <v>#VALUE!</v>
      </c>
      <c r="G449" s="114" t="s">
        <v>76</v>
      </c>
      <c r="H449" s="8"/>
      <c r="I449" s="8"/>
      <c r="J449" s="8"/>
      <c r="K449" s="8"/>
    </row>
    <row r="450" spans="1:11" ht="21.75" customHeight="1" x14ac:dyDescent="0.2">
      <c r="A450" s="8"/>
      <c r="B450" s="8" t="s">
        <v>297</v>
      </c>
      <c r="C450" s="8"/>
      <c r="D450" s="8"/>
      <c r="E450" s="8"/>
      <c r="F450" s="44" t="e">
        <f>E442+F449</f>
        <v>#VALUE!</v>
      </c>
      <c r="G450" s="114" t="s">
        <v>76</v>
      </c>
      <c r="H450" s="8"/>
      <c r="I450" s="8"/>
      <c r="J450" s="8"/>
      <c r="K450" s="8"/>
    </row>
    <row r="451" spans="1:11" ht="15" customHeight="1" x14ac:dyDescent="0.2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</row>
    <row r="452" spans="1:11" ht="15" customHeight="1" x14ac:dyDescent="0.2">
      <c r="A452" s="8"/>
      <c r="B452" s="8" t="s">
        <v>298</v>
      </c>
      <c r="C452" s="8"/>
      <c r="D452" s="8"/>
      <c r="E452" s="8"/>
      <c r="F452" s="8"/>
      <c r="G452" s="8"/>
      <c r="H452" s="8"/>
      <c r="I452" s="8"/>
      <c r="J452" s="8"/>
      <c r="K452" s="8"/>
    </row>
    <row r="453" spans="1:11" ht="15" customHeight="1" x14ac:dyDescent="0.2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</row>
    <row r="454" spans="1:11" ht="15" customHeight="1" x14ac:dyDescent="0.2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</row>
    <row r="455" spans="1:11" ht="15" customHeight="1" x14ac:dyDescent="0.2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</row>
    <row r="456" spans="1:11" ht="15" customHeight="1" x14ac:dyDescent="0.2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15" customHeight="1" x14ac:dyDescent="0.2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15" customHeight="1" x14ac:dyDescent="0.2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</row>
    <row r="459" spans="1:11" ht="15" customHeight="1" x14ac:dyDescent="0.2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</row>
    <row r="460" spans="1:11" ht="15" customHeight="1" x14ac:dyDescent="0.2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</row>
    <row r="461" spans="1:11" ht="15" customHeight="1" x14ac:dyDescent="0.2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</row>
    <row r="462" spans="1:11" ht="15" customHeight="1" x14ac:dyDescent="0.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</row>
    <row r="463" spans="1:11" ht="15" customHeight="1" x14ac:dyDescent="0.2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</row>
    <row r="464" spans="1:11" ht="15" customHeight="1" x14ac:dyDescent="0.2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</row>
    <row r="465" spans="1:13" ht="15" customHeight="1" x14ac:dyDescent="0.2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</row>
    <row r="466" spans="1:13" ht="15" customHeight="1" x14ac:dyDescent="0.2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</row>
    <row r="467" spans="1:13" ht="15" customHeight="1" x14ac:dyDescent="0.2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</row>
    <row r="468" spans="1:13" ht="15" customHeight="1" x14ac:dyDescent="0.2">
      <c r="A468" s="8"/>
      <c r="B468" s="8" t="s">
        <v>299</v>
      </c>
      <c r="C468" s="8"/>
      <c r="D468" s="8"/>
      <c r="E468" s="8"/>
      <c r="F468" s="8"/>
      <c r="G468" s="8"/>
      <c r="H468" s="8"/>
      <c r="I468" s="8"/>
      <c r="J468" s="8"/>
      <c r="K468" s="8"/>
    </row>
    <row r="469" spans="1:13" ht="15" customHeight="1" x14ac:dyDescent="0.2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</row>
    <row r="470" spans="1:13" ht="15" customHeight="1" x14ac:dyDescent="0.2">
      <c r="A470" s="8"/>
      <c r="B470" s="8" t="s">
        <v>300</v>
      </c>
      <c r="C470" s="8"/>
      <c r="D470" s="8"/>
      <c r="E470" s="44" t="str">
        <f>IF(AND(E472&gt;=22,E472&lt;=6700),1000*(59.506*E472^0.6621),"Fora da validade da curva! ERRO!")</f>
        <v>Fora da validade da curva! ERRO!</v>
      </c>
      <c r="F470" s="114" t="s">
        <v>159</v>
      </c>
      <c r="G470" s="8"/>
      <c r="H470" s="8"/>
      <c r="I470" s="8"/>
      <c r="J470" s="184" t="s">
        <v>620</v>
      </c>
      <c r="K470" s="8"/>
      <c r="L470" s="46"/>
      <c r="M470" s="457">
        <v>22</v>
      </c>
    </row>
    <row r="471" spans="1:13" ht="15" customHeight="1" x14ac:dyDescent="0.2">
      <c r="A471" s="8"/>
      <c r="B471" s="8"/>
      <c r="C471" s="8"/>
      <c r="D471" s="8"/>
      <c r="E471" s="8"/>
      <c r="F471" s="8"/>
      <c r="G471" s="8"/>
      <c r="H471" s="8"/>
      <c r="I471" s="8"/>
      <c r="J471" s="184" t="s">
        <v>621</v>
      </c>
      <c r="K471" s="184"/>
      <c r="L471" s="460"/>
      <c r="M471" s="457">
        <f>6000/0.9</f>
        <v>6666.6666666666661</v>
      </c>
    </row>
    <row r="472" spans="1:13" ht="15" customHeight="1" x14ac:dyDescent="0.2">
      <c r="A472" s="8"/>
      <c r="B472" s="8"/>
      <c r="C472" s="8" t="s">
        <v>301</v>
      </c>
      <c r="D472" s="45" t="s">
        <v>302</v>
      </c>
      <c r="E472" s="8">
        <f>D445</f>
        <v>18.518518518518519</v>
      </c>
      <c r="F472" s="8" t="s">
        <v>296</v>
      </c>
      <c r="G472" s="8"/>
      <c r="H472" s="8"/>
      <c r="I472" s="8"/>
      <c r="J472" s="8"/>
      <c r="K472" s="8"/>
    </row>
    <row r="473" spans="1:13" ht="15" customHeight="1" x14ac:dyDescent="0.2">
      <c r="A473" s="8"/>
      <c r="B473" s="8"/>
      <c r="C473" s="8"/>
      <c r="D473" s="45"/>
      <c r="E473" s="8"/>
      <c r="F473" s="8"/>
      <c r="G473" s="8"/>
      <c r="H473" s="8"/>
      <c r="I473" s="8"/>
      <c r="J473" s="8"/>
      <c r="K473" s="8"/>
    </row>
    <row r="474" spans="1:13" ht="29.25" customHeight="1" x14ac:dyDescent="0.2">
      <c r="A474" s="8"/>
      <c r="B474" s="465" t="s">
        <v>158</v>
      </c>
      <c r="C474" s="465"/>
      <c r="D474" s="465"/>
      <c r="E474" s="465"/>
      <c r="F474" s="44" t="e">
        <f>E470*0.41</f>
        <v>#VALUE!</v>
      </c>
      <c r="G474" s="114" t="s">
        <v>76</v>
      </c>
      <c r="H474" s="8"/>
      <c r="I474" s="8"/>
      <c r="J474" s="8"/>
      <c r="K474" s="8"/>
    </row>
    <row r="475" spans="1:13" ht="22.5" customHeight="1" x14ac:dyDescent="0.2">
      <c r="A475" s="8"/>
      <c r="B475" s="8" t="s">
        <v>171</v>
      </c>
      <c r="C475" s="8"/>
      <c r="D475" s="8"/>
      <c r="E475" s="8"/>
      <c r="F475" s="44" t="e">
        <f>E470+F474</f>
        <v>#VALUE!</v>
      </c>
      <c r="G475" s="114" t="s">
        <v>76</v>
      </c>
      <c r="H475" s="8"/>
      <c r="I475" s="8"/>
      <c r="J475" s="8"/>
      <c r="K475" s="8"/>
    </row>
    <row r="476" spans="1:13" ht="15" customHeight="1" x14ac:dyDescent="0.2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</row>
    <row r="477" spans="1:13" ht="15" customHeight="1" x14ac:dyDescent="0.5">
      <c r="A477" s="8"/>
      <c r="B477" s="164" t="s">
        <v>303</v>
      </c>
      <c r="C477" s="8"/>
      <c r="D477" s="8"/>
      <c r="E477" s="8"/>
      <c r="F477" s="8"/>
      <c r="G477" s="8"/>
      <c r="H477" s="8"/>
      <c r="I477" s="8"/>
      <c r="J477" s="8"/>
      <c r="K477" s="8"/>
    </row>
    <row r="478" spans="1:13" ht="15" customHeight="1" x14ac:dyDescent="0.5">
      <c r="A478" s="8"/>
      <c r="B478" s="164"/>
      <c r="C478" s="8"/>
      <c r="D478" s="8"/>
      <c r="E478" s="8"/>
      <c r="F478" s="8"/>
      <c r="G478" s="8"/>
      <c r="H478" s="8"/>
      <c r="I478" s="8"/>
      <c r="J478" s="8"/>
      <c r="K478" s="8"/>
    </row>
    <row r="479" spans="1:13" ht="15" customHeight="1" x14ac:dyDescent="0.2">
      <c r="A479" s="8"/>
      <c r="B479" s="10" t="s">
        <v>304</v>
      </c>
      <c r="C479" s="8"/>
      <c r="D479" s="8"/>
      <c r="E479" s="8"/>
      <c r="F479" s="8"/>
      <c r="G479" s="8"/>
      <c r="H479" s="8"/>
      <c r="I479" s="8"/>
      <c r="J479" s="8"/>
      <c r="K479" s="8"/>
    </row>
    <row r="480" spans="1:13" ht="15" customHeight="1" x14ac:dyDescent="0.2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</row>
    <row r="481" spans="1:11" ht="15" customHeight="1" x14ac:dyDescent="0.2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</row>
    <row r="482" spans="1:11" ht="15" customHeight="1" x14ac:dyDescent="0.25">
      <c r="A482" s="194" t="s">
        <v>305</v>
      </c>
      <c r="G482" s="208"/>
      <c r="H482" s="208"/>
      <c r="I482" s="208"/>
      <c r="J482" s="269"/>
      <c r="K482" s="270"/>
    </row>
    <row r="483" spans="1:11" ht="15" customHeight="1" thickBot="1" x14ac:dyDescent="0.3">
      <c r="H483" s="208"/>
      <c r="I483" s="208"/>
      <c r="J483" s="215" t="s">
        <v>94</v>
      </c>
    </row>
    <row r="484" spans="1:11" ht="27" customHeight="1" x14ac:dyDescent="0.25">
      <c r="B484" s="271"/>
      <c r="C484" s="272"/>
      <c r="D484" s="272"/>
      <c r="E484" s="272"/>
      <c r="F484" s="272"/>
      <c r="G484" s="273"/>
      <c r="H484" s="271"/>
      <c r="I484" s="274" t="s">
        <v>95</v>
      </c>
      <c r="J484" s="275" t="s">
        <v>96</v>
      </c>
      <c r="K484" s="201"/>
    </row>
    <row r="485" spans="1:11" ht="15" customHeight="1" x14ac:dyDescent="0.25">
      <c r="B485" s="276" t="s">
        <v>97</v>
      </c>
      <c r="C485" s="277" t="s">
        <v>98</v>
      </c>
      <c r="D485" s="208"/>
      <c r="E485" s="208"/>
      <c r="F485" s="208"/>
      <c r="G485" s="278" t="s">
        <v>99</v>
      </c>
      <c r="H485" s="279" t="s">
        <v>100</v>
      </c>
      <c r="I485" s="280" t="s">
        <v>76</v>
      </c>
      <c r="J485" s="281" t="s">
        <v>101</v>
      </c>
      <c r="K485" s="201"/>
    </row>
    <row r="486" spans="1:11" ht="15" customHeight="1" thickBot="1" x14ac:dyDescent="0.3">
      <c r="B486" s="282"/>
      <c r="C486" s="283"/>
      <c r="D486" s="283"/>
      <c r="E486" s="283"/>
      <c r="F486" s="283"/>
      <c r="G486" s="284"/>
      <c r="H486" s="285"/>
      <c r="I486" s="286"/>
      <c r="J486" s="287"/>
      <c r="K486" s="201"/>
    </row>
    <row r="487" spans="1:11" s="288" customFormat="1" ht="15" customHeight="1" x14ac:dyDescent="0.25">
      <c r="B487" s="289" t="s">
        <v>448</v>
      </c>
      <c r="C487" s="290" t="s">
        <v>306</v>
      </c>
      <c r="D487" s="291"/>
      <c r="E487" s="291"/>
      <c r="F487" s="291"/>
      <c r="G487" s="292"/>
      <c r="H487" s="291"/>
      <c r="I487" s="291"/>
      <c r="J487" s="293">
        <f>J488+J489+J501</f>
        <v>44946.922377360657</v>
      </c>
    </row>
    <row r="488" spans="1:11" s="288" customFormat="1" ht="15" customHeight="1" x14ac:dyDescent="0.25">
      <c r="B488" s="172" t="s">
        <v>307</v>
      </c>
      <c r="C488" s="294" t="s">
        <v>308</v>
      </c>
      <c r="D488" s="291"/>
      <c r="E488" s="291"/>
      <c r="F488" s="291"/>
      <c r="G488" s="292" t="s">
        <v>103</v>
      </c>
      <c r="H488" s="295"/>
      <c r="I488" s="291"/>
      <c r="J488" s="296">
        <f>E282/1000</f>
        <v>0.17077432980066101</v>
      </c>
    </row>
    <row r="489" spans="1:11" s="288" customFormat="1" ht="15" customHeight="1" x14ac:dyDescent="0.25">
      <c r="B489" s="294" t="s">
        <v>309</v>
      </c>
      <c r="C489" s="294" t="s">
        <v>310</v>
      </c>
      <c r="D489" s="294"/>
      <c r="E489" s="294"/>
      <c r="F489" s="294"/>
      <c r="G489" s="297"/>
      <c r="H489" s="298"/>
      <c r="I489" s="299"/>
      <c r="J489" s="295">
        <f>J490+J494+J495+J499</f>
        <v>44937.764016072775</v>
      </c>
    </row>
    <row r="490" spans="1:11" s="288" customFormat="1" ht="15" customHeight="1" x14ac:dyDescent="0.25">
      <c r="B490" s="291" t="s">
        <v>311</v>
      </c>
      <c r="C490" s="291" t="s">
        <v>180</v>
      </c>
      <c r="D490" s="291"/>
      <c r="E490" s="291"/>
      <c r="F490" s="291"/>
      <c r="G490" s="292" t="s">
        <v>103</v>
      </c>
      <c r="H490" s="296"/>
      <c r="I490" s="300"/>
      <c r="J490" s="296">
        <f>SUM(J491:J493)</f>
        <v>43156.694426180293</v>
      </c>
    </row>
    <row r="491" spans="1:11" s="288" customFormat="1" ht="15" customHeight="1" x14ac:dyDescent="0.25">
      <c r="B491" s="173" t="s">
        <v>312</v>
      </c>
      <c r="C491" s="173" t="s">
        <v>182</v>
      </c>
      <c r="D491" s="173"/>
      <c r="E491" s="173"/>
      <c r="F491" s="173"/>
      <c r="G491" s="174" t="s">
        <v>54</v>
      </c>
      <c r="H491" s="296">
        <f>F208</f>
        <v>-8850.698857774536</v>
      </c>
      <c r="I491" s="300">
        <v>7.6</v>
      </c>
      <c r="J491" s="296">
        <f>H491*I491/1000</f>
        <v>-67.265311319086464</v>
      </c>
    </row>
    <row r="492" spans="1:11" s="288" customFormat="1" ht="15" customHeight="1" x14ac:dyDescent="0.25">
      <c r="B492" s="291" t="s">
        <v>313</v>
      </c>
      <c r="C492" s="291" t="s">
        <v>314</v>
      </c>
      <c r="D492" s="291"/>
      <c r="E492" s="291"/>
      <c r="F492" s="291"/>
      <c r="G492" s="292" t="s">
        <v>54</v>
      </c>
      <c r="H492" s="296">
        <f>D215</f>
        <v>2058283.7970237804</v>
      </c>
      <c r="I492" s="300">
        <v>21</v>
      </c>
      <c r="J492" s="296">
        <f>H492*I492/1000</f>
        <v>43223.959737499383</v>
      </c>
    </row>
    <row r="493" spans="1:11" s="288" customFormat="1" ht="15" customHeight="1" x14ac:dyDescent="0.25">
      <c r="B493" s="173" t="s">
        <v>315</v>
      </c>
      <c r="C493" s="173" t="s">
        <v>316</v>
      </c>
      <c r="D493" s="173"/>
      <c r="E493" s="173"/>
      <c r="F493" s="173"/>
      <c r="G493" s="174" t="s">
        <v>54</v>
      </c>
      <c r="H493" s="296"/>
      <c r="I493" s="300"/>
      <c r="J493" s="296">
        <f>H493*I493/1000</f>
        <v>0</v>
      </c>
    </row>
    <row r="494" spans="1:11" s="288" customFormat="1" ht="15" customHeight="1" x14ac:dyDescent="0.25">
      <c r="B494" s="291" t="s">
        <v>317</v>
      </c>
      <c r="C494" s="291" t="s">
        <v>186</v>
      </c>
      <c r="D494" s="291"/>
      <c r="E494" s="291"/>
      <c r="F494" s="291"/>
      <c r="G494" s="292" t="s">
        <v>103</v>
      </c>
      <c r="H494" s="296"/>
      <c r="I494" s="300"/>
      <c r="J494" s="296">
        <f>E242/1000</f>
        <v>37.67877196406679</v>
      </c>
    </row>
    <row r="495" spans="1:11" s="288" customFormat="1" ht="15" customHeight="1" x14ac:dyDescent="0.25">
      <c r="B495" s="173" t="s">
        <v>318</v>
      </c>
      <c r="C495" s="173" t="s">
        <v>188</v>
      </c>
      <c r="D495" s="173"/>
      <c r="E495" s="173"/>
      <c r="F495" s="173"/>
      <c r="G495" s="174" t="s">
        <v>103</v>
      </c>
      <c r="H495" s="296"/>
      <c r="I495" s="300"/>
      <c r="J495" s="296">
        <f>SUM(J496:J498)</f>
        <v>1743.2200435986147</v>
      </c>
    </row>
    <row r="496" spans="1:11" s="288" customFormat="1" ht="15" customHeight="1" x14ac:dyDescent="0.25">
      <c r="B496" s="291" t="s">
        <v>319</v>
      </c>
      <c r="C496" s="291" t="s">
        <v>190</v>
      </c>
      <c r="D496" s="291"/>
      <c r="E496" s="291"/>
      <c r="F496" s="291"/>
      <c r="G496" s="292" t="s">
        <v>59</v>
      </c>
      <c r="H496" s="296">
        <f>F260</f>
        <v>852.83473587170738</v>
      </c>
      <c r="I496" s="300">
        <v>348</v>
      </c>
      <c r="J496" s="296">
        <f>H496*I496/1000</f>
        <v>296.78648808335419</v>
      </c>
    </row>
    <row r="497" spans="2:12" s="288" customFormat="1" ht="15" customHeight="1" x14ac:dyDescent="0.25">
      <c r="B497" s="173" t="s">
        <v>320</v>
      </c>
      <c r="C497" s="173" t="s">
        <v>192</v>
      </c>
      <c r="D497" s="173"/>
      <c r="E497" s="173"/>
      <c r="F497" s="173"/>
      <c r="G497" s="174" t="s">
        <v>54</v>
      </c>
      <c r="H497" s="296">
        <f>H260</f>
        <v>3101.2172213516633</v>
      </c>
      <c r="I497" s="300">
        <f>D262</f>
        <v>214.00000000000003</v>
      </c>
      <c r="J497" s="296">
        <f>H497*I497/1000</f>
        <v>663.66048536925598</v>
      </c>
    </row>
    <row r="498" spans="2:12" s="288" customFormat="1" ht="15" customHeight="1" x14ac:dyDescent="0.25">
      <c r="B498" s="173" t="s">
        <v>321</v>
      </c>
      <c r="C498" s="173" t="s">
        <v>194</v>
      </c>
      <c r="D498" s="173"/>
      <c r="E498" s="173"/>
      <c r="F498" s="173"/>
      <c r="G498" s="174" t="s">
        <v>59</v>
      </c>
      <c r="H498" s="296">
        <f>G260</f>
        <v>180.90433791218035</v>
      </c>
      <c r="I498" s="300">
        <v>4327</v>
      </c>
      <c r="J498" s="296">
        <f>H498*I498/1000</f>
        <v>782.77307014600444</v>
      </c>
    </row>
    <row r="499" spans="2:12" s="288" customFormat="1" ht="15" customHeight="1" x14ac:dyDescent="0.25">
      <c r="B499" s="173" t="s">
        <v>322</v>
      </c>
      <c r="C499" s="173" t="s">
        <v>323</v>
      </c>
      <c r="D499" s="173"/>
      <c r="E499" s="173"/>
      <c r="F499" s="173"/>
      <c r="G499" s="174" t="s">
        <v>103</v>
      </c>
      <c r="H499" s="296"/>
      <c r="I499" s="300"/>
      <c r="J499" s="296">
        <f>E301/1000</f>
        <v>0.17077432980066101</v>
      </c>
    </row>
    <row r="500" spans="2:12" s="288" customFormat="1" ht="15" customHeight="1" x14ac:dyDescent="0.25">
      <c r="B500" s="173"/>
      <c r="C500" s="301" t="s">
        <v>324</v>
      </c>
      <c r="D500" s="173"/>
      <c r="E500" s="173"/>
      <c r="F500" s="173"/>
      <c r="G500" s="174"/>
      <c r="H500" s="296"/>
      <c r="I500" s="300"/>
      <c r="J500" s="296">
        <f>J488+J489</f>
        <v>44937.934790402578</v>
      </c>
    </row>
    <row r="501" spans="2:12" s="288" customFormat="1" ht="15" customHeight="1" x14ac:dyDescent="0.25">
      <c r="B501" s="172" t="s">
        <v>325</v>
      </c>
      <c r="C501" s="302" t="s">
        <v>326</v>
      </c>
      <c r="D501" s="173"/>
      <c r="E501" s="173"/>
      <c r="F501" s="173"/>
      <c r="G501" s="174" t="s">
        <v>39</v>
      </c>
      <c r="H501" s="303">
        <v>20</v>
      </c>
      <c r="I501" s="300">
        <f>J500</f>
        <v>44937.934790402578</v>
      </c>
      <c r="J501" s="296">
        <f>H501*I501/100000</f>
        <v>8.9875869580805166</v>
      </c>
    </row>
    <row r="502" spans="2:12" s="288" customFormat="1" ht="15" customHeight="1" thickBot="1" x14ac:dyDescent="0.3">
      <c r="B502" s="173"/>
      <c r="C502" s="173"/>
      <c r="D502" s="173"/>
      <c r="E502" s="173"/>
      <c r="F502" s="173"/>
      <c r="G502" s="174"/>
      <c r="H502" s="296"/>
      <c r="I502" s="300"/>
      <c r="J502" s="296"/>
    </row>
    <row r="503" spans="2:12" s="288" customFormat="1" ht="15" customHeight="1" x14ac:dyDescent="0.25">
      <c r="B503" s="290" t="s">
        <v>449</v>
      </c>
      <c r="C503" s="290" t="s">
        <v>327</v>
      </c>
      <c r="D503" s="290"/>
      <c r="E503" s="290"/>
      <c r="F503" s="290"/>
      <c r="G503" s="304"/>
      <c r="H503" s="305"/>
      <c r="I503" s="306"/>
      <c r="J503" s="307">
        <f>J509+J510</f>
        <v>21949.961206539516</v>
      </c>
    </row>
    <row r="504" spans="2:12" s="288" customFormat="1" ht="15" customHeight="1" x14ac:dyDescent="0.25">
      <c r="B504" s="173" t="s">
        <v>328</v>
      </c>
      <c r="C504" s="173" t="s">
        <v>450</v>
      </c>
      <c r="D504" s="173"/>
      <c r="E504" s="173"/>
      <c r="F504" s="173"/>
      <c r="G504" s="174" t="s">
        <v>199</v>
      </c>
      <c r="H504" s="296">
        <f>F339</f>
        <v>2</v>
      </c>
      <c r="I504" s="308">
        <f>F369</f>
        <v>54106.704714730462</v>
      </c>
      <c r="J504" s="296">
        <f>H504*I504/1000</f>
        <v>108.21340942946092</v>
      </c>
      <c r="K504" s="195" t="s">
        <v>462</v>
      </c>
      <c r="L504" s="319"/>
    </row>
    <row r="505" spans="2:12" s="288" customFormat="1" ht="15" customHeight="1" x14ac:dyDescent="0.25">
      <c r="B505" s="291" t="s">
        <v>329</v>
      </c>
      <c r="C505" s="291" t="s">
        <v>330</v>
      </c>
      <c r="D505" s="291"/>
      <c r="E505" s="291"/>
      <c r="F505" s="291"/>
      <c r="G505" s="292" t="s">
        <v>199</v>
      </c>
      <c r="H505" s="296"/>
      <c r="I505" s="308"/>
      <c r="J505" s="296">
        <f>H505*I505/1000</f>
        <v>0</v>
      </c>
    </row>
    <row r="506" spans="2:12" s="288" customFormat="1" ht="15" customHeight="1" x14ac:dyDescent="0.25">
      <c r="B506" s="173" t="s">
        <v>331</v>
      </c>
      <c r="C506" s="173" t="s">
        <v>451</v>
      </c>
      <c r="D506" s="173"/>
      <c r="E506" s="173"/>
      <c r="F506" s="173"/>
      <c r="G506" s="174" t="s">
        <v>199</v>
      </c>
      <c r="H506" s="309">
        <f>F90</f>
        <v>2</v>
      </c>
      <c r="I506" s="310">
        <f>F331</f>
        <v>6301723.6689999998</v>
      </c>
      <c r="J506" s="296">
        <f>H506*I506/1000</f>
        <v>12603.447338</v>
      </c>
    </row>
    <row r="507" spans="2:12" s="288" customFormat="1" ht="15" customHeight="1" x14ac:dyDescent="0.25">
      <c r="B507" s="291" t="s">
        <v>332</v>
      </c>
      <c r="C507" s="291" t="s">
        <v>333</v>
      </c>
      <c r="D507" s="291"/>
      <c r="E507" s="291"/>
      <c r="F507" s="291"/>
      <c r="G507" s="292" t="s">
        <v>199</v>
      </c>
      <c r="H507" s="309">
        <f>F90</f>
        <v>2</v>
      </c>
      <c r="I507" s="310">
        <f>E413</f>
        <v>3543984.6917470442</v>
      </c>
      <c r="J507" s="296">
        <f>H507*I507/1000</f>
        <v>7087.9693834940881</v>
      </c>
    </row>
    <row r="508" spans="2:12" s="288" customFormat="1" ht="15" customHeight="1" x14ac:dyDescent="0.25">
      <c r="B508" s="173" t="s">
        <v>334</v>
      </c>
      <c r="C508" s="173" t="s">
        <v>452</v>
      </c>
      <c r="D508" s="173"/>
      <c r="E508" s="173"/>
      <c r="F508" s="173"/>
      <c r="G508" s="174" t="s">
        <v>103</v>
      </c>
      <c r="H508" s="296"/>
      <c r="I508" s="308"/>
      <c r="J508" s="296">
        <f>F376/1000</f>
        <v>154.88005683964576</v>
      </c>
    </row>
    <row r="509" spans="2:12" s="288" customFormat="1" ht="15" customHeight="1" x14ac:dyDescent="0.25">
      <c r="B509" s="291"/>
      <c r="C509" s="291" t="s">
        <v>453</v>
      </c>
      <c r="D509" s="291"/>
      <c r="E509" s="291"/>
      <c r="F509" s="291"/>
      <c r="G509" s="292"/>
      <c r="H509" s="296"/>
      <c r="I509" s="300"/>
      <c r="J509" s="296">
        <f>SUM(J504:J508)</f>
        <v>19954.510187763197</v>
      </c>
    </row>
    <row r="510" spans="2:12" s="288" customFormat="1" ht="15" customHeight="1" x14ac:dyDescent="0.25">
      <c r="B510" s="173" t="s">
        <v>335</v>
      </c>
      <c r="C510" s="311" t="s">
        <v>454</v>
      </c>
      <c r="D510" s="173"/>
      <c r="E510" s="173"/>
      <c r="F510" s="173"/>
      <c r="G510" s="174" t="s">
        <v>39</v>
      </c>
      <c r="H510" s="303">
        <v>10</v>
      </c>
      <c r="I510" s="312">
        <f>J509*1000</f>
        <v>19954510.187763195</v>
      </c>
      <c r="J510" s="296">
        <f>H510*I510/100000</f>
        <v>1995.4510187763196</v>
      </c>
    </row>
    <row r="511" spans="2:12" s="288" customFormat="1" ht="15" customHeight="1" thickBot="1" x14ac:dyDescent="0.3">
      <c r="B511" s="291"/>
      <c r="C511" s="291"/>
      <c r="D511" s="291"/>
      <c r="E511" s="291"/>
      <c r="F511" s="291"/>
      <c r="G511" s="292"/>
      <c r="H511" s="296"/>
      <c r="I511" s="300"/>
      <c r="J511" s="296"/>
    </row>
    <row r="512" spans="2:12" s="288" customFormat="1" ht="15" customHeight="1" x14ac:dyDescent="0.25">
      <c r="B512" s="290" t="s">
        <v>455</v>
      </c>
      <c r="C512" s="290" t="s">
        <v>336</v>
      </c>
      <c r="D512" s="290"/>
      <c r="E512" s="290"/>
      <c r="F512" s="290"/>
      <c r="G512" s="304"/>
      <c r="H512" s="305"/>
      <c r="I512" s="306"/>
      <c r="J512" s="307">
        <f>J514+J515</f>
        <v>4741.1916206125352</v>
      </c>
    </row>
    <row r="513" spans="1:11" s="288" customFormat="1" ht="15" customHeight="1" x14ac:dyDescent="0.25">
      <c r="B513" s="291" t="s">
        <v>337</v>
      </c>
      <c r="C513" s="291" t="s">
        <v>338</v>
      </c>
      <c r="D513" s="291"/>
      <c r="E513" s="291"/>
      <c r="F513" s="291"/>
      <c r="G513" s="292" t="s">
        <v>39</v>
      </c>
      <c r="H513" s="303">
        <v>18</v>
      </c>
      <c r="I513" s="300">
        <f>J503*1000</f>
        <v>21949961.206539515</v>
      </c>
      <c r="J513" s="296">
        <f>H513*I513/100000</f>
        <v>3950.9930171771125</v>
      </c>
    </row>
    <row r="514" spans="1:11" s="288" customFormat="1" ht="15" customHeight="1" x14ac:dyDescent="0.25">
      <c r="B514" s="173"/>
      <c r="C514" s="173" t="s">
        <v>456</v>
      </c>
      <c r="D514" s="173"/>
      <c r="E514" s="173"/>
      <c r="F514" s="173"/>
      <c r="G514" s="174"/>
      <c r="H514" s="296"/>
      <c r="I514" s="300"/>
      <c r="J514" s="296">
        <f>J513</f>
        <v>3950.9930171771125</v>
      </c>
    </row>
    <row r="515" spans="1:11" s="288" customFormat="1" ht="15" customHeight="1" x14ac:dyDescent="0.25">
      <c r="B515" s="173" t="s">
        <v>339</v>
      </c>
      <c r="C515" s="311" t="s">
        <v>457</v>
      </c>
      <c r="D515" s="173"/>
      <c r="E515" s="173"/>
      <c r="F515" s="173"/>
      <c r="G515" s="174" t="s">
        <v>39</v>
      </c>
      <c r="H515" s="303">
        <v>20</v>
      </c>
      <c r="I515" s="300">
        <f>J513*1000</f>
        <v>3950993.0171771124</v>
      </c>
      <c r="J515" s="296">
        <f>I515*H515/100000</f>
        <v>790.19860343542246</v>
      </c>
    </row>
    <row r="516" spans="1:11" s="288" customFormat="1" ht="15" customHeight="1" thickBot="1" x14ac:dyDescent="0.3">
      <c r="B516" s="173"/>
      <c r="C516" s="173"/>
      <c r="D516" s="173"/>
      <c r="E516" s="173"/>
      <c r="F516" s="173"/>
      <c r="G516" s="174"/>
      <c r="H516" s="296"/>
      <c r="I516" s="300"/>
      <c r="J516" s="296"/>
    </row>
    <row r="517" spans="1:11" s="288" customFormat="1" ht="15" customHeight="1" x14ac:dyDescent="0.25">
      <c r="B517" s="290" t="s">
        <v>458</v>
      </c>
      <c r="C517" s="290" t="s">
        <v>340</v>
      </c>
      <c r="D517" s="290"/>
      <c r="E517" s="290"/>
      <c r="F517" s="290"/>
      <c r="G517" s="304"/>
      <c r="H517" s="305"/>
      <c r="I517" s="306"/>
      <c r="J517" s="307" t="e">
        <f>J521+J522</f>
        <v>#VALUE!</v>
      </c>
    </row>
    <row r="518" spans="1:11" s="288" customFormat="1" ht="15" customHeight="1" x14ac:dyDescent="0.25">
      <c r="B518" s="291" t="s">
        <v>341</v>
      </c>
      <c r="C518" s="291" t="s">
        <v>342</v>
      </c>
      <c r="D518" s="291"/>
      <c r="E518" s="291"/>
      <c r="F518" s="291"/>
      <c r="G518" s="292" t="s">
        <v>199</v>
      </c>
      <c r="H518" s="296">
        <v>1</v>
      </c>
      <c r="I518" s="300" t="e">
        <f>F450</f>
        <v>#VALUE!</v>
      </c>
      <c r="J518" s="296" t="e">
        <f>H518*I518/1000</f>
        <v>#VALUE!</v>
      </c>
    </row>
    <row r="519" spans="1:11" s="288" customFormat="1" ht="15" customHeight="1" x14ac:dyDescent="0.25">
      <c r="B519" s="173" t="s">
        <v>341</v>
      </c>
      <c r="C519" s="173" t="s">
        <v>343</v>
      </c>
      <c r="D519" s="173"/>
      <c r="E519" s="173"/>
      <c r="F519" s="173"/>
      <c r="G519" s="174" t="s">
        <v>199</v>
      </c>
      <c r="H519" s="296">
        <v>1</v>
      </c>
      <c r="I519" s="308" t="e">
        <f>F475</f>
        <v>#VALUE!</v>
      </c>
      <c r="J519" s="296" t="e">
        <f>H519*I519/1000</f>
        <v>#VALUE!</v>
      </c>
    </row>
    <row r="520" spans="1:11" s="288" customFormat="1" ht="15" customHeight="1" x14ac:dyDescent="0.25">
      <c r="B520" s="173" t="s">
        <v>344</v>
      </c>
      <c r="C520" s="173" t="s">
        <v>345</v>
      </c>
      <c r="D520" s="173"/>
      <c r="E520" s="173"/>
      <c r="F520" s="173"/>
      <c r="G520" s="174" t="s">
        <v>39</v>
      </c>
      <c r="H520" s="303">
        <v>6</v>
      </c>
      <c r="I520" s="300">
        <f>J503*1000</f>
        <v>21949961.206539515</v>
      </c>
      <c r="J520" s="296">
        <f>H520*I520/100000</f>
        <v>1316.997672392371</v>
      </c>
    </row>
    <row r="521" spans="1:11" s="288" customFormat="1" ht="15" customHeight="1" x14ac:dyDescent="0.25">
      <c r="B521" s="291"/>
      <c r="C521" s="291" t="s">
        <v>346</v>
      </c>
      <c r="D521" s="291"/>
      <c r="E521" s="291"/>
      <c r="F521" s="291"/>
      <c r="G521" s="292"/>
      <c r="H521" s="296"/>
      <c r="I521" s="300"/>
      <c r="J521" s="296" t="e">
        <f>J520+J518+J519</f>
        <v>#VALUE!</v>
      </c>
    </row>
    <row r="522" spans="1:11" s="288" customFormat="1" ht="15" customHeight="1" x14ac:dyDescent="0.25">
      <c r="B522" s="173" t="s">
        <v>347</v>
      </c>
      <c r="C522" s="311" t="s">
        <v>348</v>
      </c>
      <c r="D522" s="173"/>
      <c r="E522" s="173"/>
      <c r="F522" s="173"/>
      <c r="G522" s="174" t="s">
        <v>39</v>
      </c>
      <c r="H522" s="303">
        <v>15</v>
      </c>
      <c r="I522" s="300" t="e">
        <f>J521*1000</f>
        <v>#VALUE!</v>
      </c>
      <c r="J522" s="296" t="e">
        <f>H522*I522/100000</f>
        <v>#VALUE!</v>
      </c>
    </row>
    <row r="523" spans="1:11" s="288" customFormat="1" ht="15" customHeight="1" thickBot="1" x14ac:dyDescent="0.3">
      <c r="B523" s="313"/>
      <c r="C523" s="313"/>
      <c r="D523" s="313"/>
      <c r="E523" s="313"/>
      <c r="F523" s="313"/>
      <c r="G523" s="314"/>
      <c r="H523" s="315"/>
      <c r="I523" s="313"/>
      <c r="J523" s="316"/>
    </row>
    <row r="524" spans="1:11" ht="18" customHeight="1" x14ac:dyDescent="0.2">
      <c r="B524" s="175" t="s">
        <v>349</v>
      </c>
      <c r="C524" s="175"/>
      <c r="D524" s="175"/>
      <c r="E524" s="175"/>
      <c r="F524" s="175"/>
      <c r="G524" s="176"/>
      <c r="H524" s="177"/>
      <c r="I524" s="175"/>
      <c r="J524" s="317" t="e">
        <f>J487+J503+J512+J517</f>
        <v>#VALUE!</v>
      </c>
      <c r="K524" s="201"/>
    </row>
    <row r="525" spans="1:11" ht="16.5" customHeight="1" thickBot="1" x14ac:dyDescent="0.25">
      <c r="B525" s="171"/>
      <c r="C525" s="171"/>
      <c r="D525" s="171"/>
      <c r="E525" s="171"/>
      <c r="F525" s="171"/>
      <c r="G525" s="178"/>
      <c r="H525" s="171"/>
      <c r="I525" s="171"/>
      <c r="J525" s="171"/>
      <c r="K525" s="201"/>
    </row>
    <row r="528" spans="1:11" s="46" customFormat="1" ht="15" customHeight="1" x14ac:dyDescent="0.2">
      <c r="A528" s="82" t="s">
        <v>350</v>
      </c>
      <c r="B528" s="83"/>
      <c r="C528" s="83"/>
      <c r="D528" s="83"/>
      <c r="E528" s="83"/>
      <c r="F528" s="83"/>
      <c r="G528" s="83"/>
    </row>
    <row r="529" spans="1:10" s="46" customFormat="1" ht="15" customHeight="1" thickBot="1" x14ac:dyDescent="0.25">
      <c r="A529" s="82"/>
      <c r="B529" s="83"/>
      <c r="C529" s="83"/>
      <c r="D529" s="83"/>
      <c r="E529" s="83"/>
      <c r="F529" s="83"/>
      <c r="G529" s="83"/>
    </row>
    <row r="530" spans="1:10" s="46" customFormat="1" ht="15" customHeight="1" x14ac:dyDescent="0.2">
      <c r="B530" s="468" t="s">
        <v>112</v>
      </c>
      <c r="C530" s="488" t="s">
        <v>113</v>
      </c>
      <c r="D530" s="469"/>
      <c r="E530" s="469"/>
      <c r="F530" s="469"/>
      <c r="G530" s="469"/>
      <c r="H530" s="469"/>
      <c r="I530" s="469"/>
      <c r="J530" s="470"/>
    </row>
    <row r="531" spans="1:10" s="46" customFormat="1" ht="15" customHeight="1" thickBot="1" x14ac:dyDescent="0.25">
      <c r="B531" s="487"/>
      <c r="C531" s="489"/>
      <c r="D531" s="472"/>
      <c r="E531" s="472"/>
      <c r="F531" s="472"/>
      <c r="G531" s="472"/>
      <c r="H531" s="472"/>
      <c r="I531" s="472"/>
      <c r="J531" s="473"/>
    </row>
    <row r="532" spans="1:10" s="46" customFormat="1" ht="15" customHeight="1" x14ac:dyDescent="0.2">
      <c r="B532" s="84">
        <f>IF(OR(C532="Potência da unidade geradora maior que a máxima recomendada. Foi aumentado o número de unidades",C532="Potência da unidade geradora menor que a mínima recomendada. Foi diminuído o número de unidades"),ROW(B32),"")</f>
        <v>32</v>
      </c>
      <c r="C532" s="145" t="str">
        <f>IF(OR(B32="Potência da unidade geradora maior que a máxima recomendada. Foi aumentado o número de unidades",B32="Potência da unidade geradora menor que a mínima recomendada. Foi diminuído o número de unidades"),B32,"")</f>
        <v>Potência da unidade geradora maior que a máxima recomendada. Foi aumentado o número de unidades</v>
      </c>
      <c r="D532" s="146"/>
      <c r="E532" s="146"/>
      <c r="F532" s="146"/>
      <c r="G532" s="146"/>
      <c r="H532" s="146"/>
      <c r="I532" s="146"/>
      <c r="J532" s="146"/>
    </row>
    <row r="533" spans="1:10" s="46" customFormat="1" ht="15" customHeight="1" x14ac:dyDescent="0.2">
      <c r="B533" s="84" t="str">
        <f>IF(C533="Fora da faixa de variação! ERRO!",ROW(H74),"")</f>
        <v/>
      </c>
      <c r="C533" s="149" t="str">
        <f>IF(H74="Fora da faixa de variação! ERRO!","Fora da faixa de variação! ERRO!","")</f>
        <v/>
      </c>
      <c r="D533" s="86"/>
      <c r="E533" s="86"/>
      <c r="F533" s="86"/>
      <c r="G533" s="86"/>
      <c r="H533" s="86"/>
      <c r="I533" s="86"/>
      <c r="J533" s="86"/>
    </row>
    <row r="534" spans="1:10" s="46" customFormat="1" ht="15" customHeight="1" x14ac:dyDescent="0.2">
      <c r="B534" s="84" t="str">
        <f>IF(C534="Fora da faixa de variação! ERRO!",ROW(H89),"")</f>
        <v/>
      </c>
      <c r="C534" s="149" t="str">
        <f>IF(H89="Fora da faixa de variação! ERRO!","Fora da faixa de variação! ERRO!","")</f>
        <v/>
      </c>
      <c r="D534" s="86"/>
      <c r="E534" s="86"/>
      <c r="F534" s="86"/>
      <c r="G534" s="86"/>
      <c r="H534" s="86"/>
      <c r="I534" s="86"/>
      <c r="J534" s="86"/>
    </row>
    <row r="535" spans="1:10" s="46" customFormat="1" ht="15" customHeight="1" x14ac:dyDescent="0.2">
      <c r="B535" s="84" t="str">
        <f>IF(C535="Fora da validade da curva! ERRO!",ROW(E114),"")</f>
        <v/>
      </c>
      <c r="C535" s="149" t="str">
        <f>IF(E114="Fora da validade da curva! ERRO!","Fora da validade da curva! ERRO!","")</f>
        <v/>
      </c>
      <c r="D535" s="86"/>
      <c r="E535" s="86"/>
      <c r="F535" s="86"/>
      <c r="G535" s="86"/>
      <c r="H535" s="86"/>
      <c r="I535" s="86"/>
      <c r="J535" s="86"/>
    </row>
    <row r="536" spans="1:10" s="46" customFormat="1" ht="15" customHeight="1" x14ac:dyDescent="0.2">
      <c r="B536" s="84" t="str">
        <f>IF(C536="Velocidade específica fora da validade do gráfico B09.",ROW(E140),"")</f>
        <v/>
      </c>
      <c r="C536" s="149" t="str">
        <f>IF(E140="Velocidade específica fora da validade do gráfico B09.","Velocidade específica fora da validade do gráfico B09.","")</f>
        <v/>
      </c>
      <c r="D536" s="86"/>
      <c r="E536" s="86"/>
      <c r="F536" s="86"/>
      <c r="G536" s="86"/>
      <c r="H536" s="86"/>
      <c r="I536" s="86"/>
      <c r="J536" s="86"/>
    </row>
    <row r="537" spans="1:10" s="46" customFormat="1" ht="15" customHeight="1" x14ac:dyDescent="0.2">
      <c r="B537" s="144" t="str">
        <f>IF(C537="Potência fora da validade do gráfico B19.",ROW(E282),"")</f>
        <v/>
      </c>
      <c r="C537" s="179" t="str">
        <f>IF(E282="Potência fora da validade do gráfico B19.","Potência fora da validade do gráfico B19.","")</f>
        <v/>
      </c>
      <c r="E537" s="146"/>
      <c r="F537" s="146"/>
      <c r="G537" s="146"/>
      <c r="H537" s="146"/>
      <c r="I537" s="146"/>
      <c r="J537" s="146"/>
    </row>
    <row r="538" spans="1:10" s="46" customFormat="1" ht="15" customHeight="1" x14ac:dyDescent="0.2">
      <c r="B538" s="84" t="str">
        <f>IF(C538="Potência fora da validade do gráfico B20.",ROW(E301),"")</f>
        <v/>
      </c>
      <c r="C538" s="149" t="str">
        <f>IF(E301="Potência fora da validade do gráfico B20.","Potência fora da validade do gráfico B20.","")</f>
        <v/>
      </c>
      <c r="D538" s="86"/>
      <c r="E538" s="86"/>
      <c r="F538" s="86"/>
      <c r="G538" s="86"/>
      <c r="H538" s="86"/>
      <c r="I538" s="86"/>
      <c r="J538" s="86"/>
    </row>
    <row r="539" spans="1:10" s="46" customFormat="1" ht="15" customHeight="1" x14ac:dyDescent="0.2">
      <c r="B539" s="84" t="str">
        <f>IF(C539="Fora da faixa de variação da curva!  ERRO!",ROW(E324),"")</f>
        <v/>
      </c>
      <c r="C539" s="149" t="str">
        <f>IF(E324="Fora da faixa de variação da curva!  ERRO!","Fora da faixa de variação da curva!  ERRO!","")</f>
        <v/>
      </c>
      <c r="D539" s="86"/>
      <c r="E539" s="86"/>
      <c r="F539" s="86"/>
      <c r="G539" s="86"/>
      <c r="H539" s="86"/>
      <c r="I539" s="86"/>
      <c r="J539" s="86"/>
    </row>
    <row r="540" spans="1:10" s="46" customFormat="1" ht="15" customHeight="1" x14ac:dyDescent="0.2">
      <c r="B540" s="84" t="str">
        <f>IF(C540="Fora da faixa de variação da curva!",ROW(E357),"")</f>
        <v/>
      </c>
      <c r="C540" s="149" t="str">
        <f>IF(E357="Fora da faixa de variação da curva!","Fora da faixa de variação da curva!","")</f>
        <v/>
      </c>
      <c r="D540" s="86"/>
      <c r="E540" s="86"/>
      <c r="F540" s="86"/>
      <c r="G540" s="86"/>
      <c r="H540" s="86"/>
      <c r="I540" s="86"/>
      <c r="J540" s="86"/>
    </row>
    <row r="541" spans="1:10" s="46" customFormat="1" ht="15" customHeight="1" x14ac:dyDescent="0.2">
      <c r="B541" s="84" t="str">
        <f>IF(C541="Relação MVA/rpm fora da validade do gráfico B15.",ROW(D410),"")</f>
        <v/>
      </c>
      <c r="C541" s="149" t="str">
        <f>IF(D410="Relação MVA/rpm fora da validade do gráfico B15.","Relação MVA/rpm fora da validade do gráfico B15.","")</f>
        <v/>
      </c>
      <c r="D541" s="86"/>
      <c r="E541" s="86"/>
      <c r="F541" s="86"/>
      <c r="G541" s="86"/>
      <c r="H541" s="86"/>
      <c r="I541" s="86"/>
      <c r="J541" s="86"/>
    </row>
    <row r="542" spans="1:10" s="46" customFormat="1" ht="15" customHeight="1" x14ac:dyDescent="0.2">
      <c r="B542" s="84">
        <f>IF(C542="Fora da validade da curva! ERRO!",ROW(D442),"")</f>
        <v>442</v>
      </c>
      <c r="C542" s="149" t="str">
        <f>IF(E442="ERRO. Fora da validade da curva!","Fora da validade da curva! ERRO!","")</f>
        <v>Fora da validade da curva! ERRO!</v>
      </c>
      <c r="D542" s="86"/>
      <c r="E542" s="86"/>
      <c r="F542" s="86"/>
      <c r="G542" s="86"/>
      <c r="H542" s="86"/>
      <c r="I542" s="86"/>
      <c r="J542" s="86"/>
    </row>
    <row r="543" spans="1:10" s="46" customFormat="1" ht="15" customHeight="1" x14ac:dyDescent="0.2">
      <c r="B543" s="84">
        <f>IF(C543="Fora da validade da curva! ERRO!",ROW(D470),"")</f>
        <v>470</v>
      </c>
      <c r="C543" s="149" t="str">
        <f>IF(E470="Fora da validade da curva! ERRO!","Fora da validade da curva! ERRO!","")</f>
        <v>Fora da validade da curva! ERRO!</v>
      </c>
      <c r="D543" s="86"/>
      <c r="E543" s="86"/>
      <c r="F543" s="86"/>
      <c r="G543" s="86"/>
      <c r="H543" s="86"/>
      <c r="I543" s="86"/>
      <c r="J543" s="86"/>
    </row>
    <row r="544" spans="1:10" s="46" customFormat="1" ht="15" customHeight="1" thickBot="1" x14ac:dyDescent="0.25">
      <c r="B544" s="180"/>
      <c r="C544" s="318"/>
      <c r="D544" s="181"/>
      <c r="E544" s="181"/>
      <c r="F544" s="181"/>
      <c r="G544" s="181"/>
      <c r="H544" s="181"/>
      <c r="I544" s="181"/>
      <c r="J544" s="181"/>
    </row>
  </sheetData>
  <mergeCells count="12">
    <mergeCell ref="A404:B404"/>
    <mergeCell ref="A412:D412"/>
    <mergeCell ref="B449:E449"/>
    <mergeCell ref="B474:E474"/>
    <mergeCell ref="B530:B531"/>
    <mergeCell ref="C530:J531"/>
    <mergeCell ref="B375:E375"/>
    <mergeCell ref="E1:H2"/>
    <mergeCell ref="A3:D3"/>
    <mergeCell ref="J3:K3"/>
    <mergeCell ref="B330:E330"/>
    <mergeCell ref="B368:E368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29697" r:id="rId4">
          <objectPr defaultSize="0" autoLine="0" autoPict="0" r:id="rId5">
            <anchor moveWithCells="1">
              <from>
                <xdr:col>1</xdr:col>
                <xdr:colOff>38100</xdr:colOff>
                <xdr:row>63</xdr:row>
                <xdr:rowOff>66675</xdr:rowOff>
              </from>
              <to>
                <xdr:col>4</xdr:col>
                <xdr:colOff>152400</xdr:colOff>
                <xdr:row>65</xdr:row>
                <xdr:rowOff>76200</xdr:rowOff>
              </to>
            </anchor>
          </objectPr>
        </oleObject>
      </mc:Choice>
      <mc:Fallback>
        <oleObject progId="Equation.2" shapeId="29697" r:id="rId4"/>
      </mc:Fallback>
    </mc:AlternateContent>
    <mc:AlternateContent xmlns:mc="http://schemas.openxmlformats.org/markup-compatibility/2006">
      <mc:Choice Requires="x14">
        <oleObject progId="Equation.2" shapeId="29698" r:id="rId6">
          <objectPr defaultSize="0" autoLine="0" autoPict="0" r:id="rId7">
            <anchor moveWithCells="1">
              <from>
                <xdr:col>1</xdr:col>
                <xdr:colOff>228600</xdr:colOff>
                <xdr:row>103</xdr:row>
                <xdr:rowOff>142875</xdr:rowOff>
              </from>
              <to>
                <xdr:col>2</xdr:col>
                <xdr:colOff>485775</xdr:colOff>
                <xdr:row>105</xdr:row>
                <xdr:rowOff>152400</xdr:rowOff>
              </to>
            </anchor>
          </objectPr>
        </oleObject>
      </mc:Choice>
      <mc:Fallback>
        <oleObject progId="Equation.2" shapeId="29698" r:id="rId6"/>
      </mc:Fallback>
    </mc:AlternateContent>
    <mc:AlternateContent xmlns:mc="http://schemas.openxmlformats.org/markup-compatibility/2006">
      <mc:Choice Requires="x14">
        <oleObject progId="Equation.2" shapeId="29699" r:id="rId8">
          <objectPr defaultSize="0" autoLine="0" autoPict="0" r:id="rId9">
            <anchor moveWithCells="1">
              <from>
                <xdr:col>0</xdr:col>
                <xdr:colOff>685800</xdr:colOff>
                <xdr:row>139</xdr:row>
                <xdr:rowOff>9525</xdr:rowOff>
              </from>
              <to>
                <xdr:col>4</xdr:col>
                <xdr:colOff>400050</xdr:colOff>
                <xdr:row>140</xdr:row>
                <xdr:rowOff>57150</xdr:rowOff>
              </to>
            </anchor>
          </objectPr>
        </oleObject>
      </mc:Choice>
      <mc:Fallback>
        <oleObject progId="Equation.2" shapeId="29699" r:id="rId8"/>
      </mc:Fallback>
    </mc:AlternateContent>
    <mc:AlternateContent xmlns:mc="http://schemas.openxmlformats.org/markup-compatibility/2006">
      <mc:Choice Requires="x14">
        <oleObject progId="Equation.2" shapeId="29700" r:id="rId10">
          <objectPr defaultSize="0" autoLine="0" autoPict="0" r:id="rId11">
            <anchor moveWithCells="1">
              <from>
                <xdr:col>1</xdr:col>
                <xdr:colOff>200025</xdr:colOff>
                <xdr:row>129</xdr:row>
                <xdr:rowOff>104775</xdr:rowOff>
              </from>
              <to>
                <xdr:col>2</xdr:col>
                <xdr:colOff>342900</xdr:colOff>
                <xdr:row>131</xdr:row>
                <xdr:rowOff>114300</xdr:rowOff>
              </to>
            </anchor>
          </objectPr>
        </oleObject>
      </mc:Choice>
      <mc:Fallback>
        <oleObject progId="Equation.2" shapeId="29700" r:id="rId10"/>
      </mc:Fallback>
    </mc:AlternateContent>
    <mc:AlternateContent xmlns:mc="http://schemas.openxmlformats.org/markup-compatibility/2006">
      <mc:Choice Requires="x14">
        <oleObject progId="Equation.2" shapeId="29701" r:id="rId12">
          <objectPr defaultSize="0" autoLine="0" autoPict="0" r:id="rId13">
            <anchor moveWithCells="1">
              <from>
                <xdr:col>1</xdr:col>
                <xdr:colOff>171450</xdr:colOff>
                <xdr:row>133</xdr:row>
                <xdr:rowOff>19050</xdr:rowOff>
              </from>
              <to>
                <xdr:col>3</xdr:col>
                <xdr:colOff>161925</xdr:colOff>
                <xdr:row>134</xdr:row>
                <xdr:rowOff>47625</xdr:rowOff>
              </to>
            </anchor>
          </objectPr>
        </oleObject>
      </mc:Choice>
      <mc:Fallback>
        <oleObject progId="Equation.2" shapeId="29701" r:id="rId12"/>
      </mc:Fallback>
    </mc:AlternateContent>
    <mc:AlternateContent xmlns:mc="http://schemas.openxmlformats.org/markup-compatibility/2006">
      <mc:Choice Requires="x14">
        <oleObject progId="Equation.2" shapeId="29702" r:id="rId14">
          <objectPr defaultSize="0" autoLine="0" autoPict="0" r:id="rId15">
            <anchor moveWithCells="1">
              <from>
                <xdr:col>1</xdr:col>
                <xdr:colOff>257175</xdr:colOff>
                <xdr:row>142</xdr:row>
                <xdr:rowOff>95250</xdr:rowOff>
              </from>
              <to>
                <xdr:col>4</xdr:col>
                <xdr:colOff>704850</xdr:colOff>
                <xdr:row>144</xdr:row>
                <xdr:rowOff>123825</xdr:rowOff>
              </to>
            </anchor>
          </objectPr>
        </oleObject>
      </mc:Choice>
      <mc:Fallback>
        <oleObject progId="Equation.2" shapeId="29702" r:id="rId14"/>
      </mc:Fallback>
    </mc:AlternateContent>
    <mc:AlternateContent xmlns:mc="http://schemas.openxmlformats.org/markup-compatibility/2006">
      <mc:Choice Requires="x14">
        <oleObject progId="Equation.2" shapeId="29703" r:id="rId16">
          <objectPr defaultSize="0" autoLine="0" autoPict="0" r:id="rId17">
            <anchor moveWithCells="1">
              <from>
                <xdr:col>1</xdr:col>
                <xdr:colOff>114300</xdr:colOff>
                <xdr:row>59</xdr:row>
                <xdr:rowOff>133350</xdr:rowOff>
              </from>
              <to>
                <xdr:col>2</xdr:col>
                <xdr:colOff>333375</xdr:colOff>
                <xdr:row>61</xdr:row>
                <xdr:rowOff>142875</xdr:rowOff>
              </to>
            </anchor>
          </objectPr>
        </oleObject>
      </mc:Choice>
      <mc:Fallback>
        <oleObject progId="Equation.2" shapeId="29703" r:id="rId16"/>
      </mc:Fallback>
    </mc:AlternateContent>
    <mc:AlternateContent xmlns:mc="http://schemas.openxmlformats.org/markup-compatibility/2006">
      <mc:Choice Requires="x14">
        <oleObject progId="Equation.2" shapeId="29704" r:id="rId18">
          <objectPr defaultSize="0" autoLine="0" autoPict="0" r:id="rId19">
            <anchor moveWithCells="1">
              <from>
                <xdr:col>1</xdr:col>
                <xdr:colOff>238125</xdr:colOff>
                <xdr:row>116</xdr:row>
                <xdr:rowOff>9525</xdr:rowOff>
              </from>
              <to>
                <xdr:col>3</xdr:col>
                <xdr:colOff>104775</xdr:colOff>
                <xdr:row>117</xdr:row>
                <xdr:rowOff>38100</xdr:rowOff>
              </to>
            </anchor>
          </objectPr>
        </oleObject>
      </mc:Choice>
      <mc:Fallback>
        <oleObject progId="Equation.2" shapeId="29704" r:id="rId18"/>
      </mc:Fallback>
    </mc:AlternateContent>
    <mc:AlternateContent xmlns:mc="http://schemas.openxmlformats.org/markup-compatibility/2006">
      <mc:Choice Requires="x14">
        <oleObject progId="Equation.2" shapeId="29705" r:id="rId20">
          <objectPr defaultSize="0" autoLine="0" autoPict="0" r:id="rId21">
            <anchor moveWithCells="1">
              <from>
                <xdr:col>1</xdr:col>
                <xdr:colOff>257175</xdr:colOff>
                <xdr:row>44</xdr:row>
                <xdr:rowOff>114300</xdr:rowOff>
              </from>
              <to>
                <xdr:col>2</xdr:col>
                <xdr:colOff>666750</xdr:colOff>
                <xdr:row>46</xdr:row>
                <xdr:rowOff>85725</xdr:rowOff>
              </to>
            </anchor>
          </objectPr>
        </oleObject>
      </mc:Choice>
      <mc:Fallback>
        <oleObject progId="Equation.2" shapeId="29705" r:id="rId20"/>
      </mc:Fallback>
    </mc:AlternateContent>
    <mc:AlternateContent xmlns:mc="http://schemas.openxmlformats.org/markup-compatibility/2006">
      <mc:Choice Requires="x14">
        <oleObject progId="Equation.2" shapeId="29706" r:id="rId22">
          <objectPr defaultSize="0" autoLine="0" autoPict="0" r:id="rId23">
            <anchor moveWithCells="1">
              <from>
                <xdr:col>1</xdr:col>
                <xdr:colOff>228600</xdr:colOff>
                <xdr:row>81</xdr:row>
                <xdr:rowOff>123825</xdr:rowOff>
              </from>
              <to>
                <xdr:col>3</xdr:col>
                <xdr:colOff>9525</xdr:colOff>
                <xdr:row>83</xdr:row>
                <xdr:rowOff>114300</xdr:rowOff>
              </to>
            </anchor>
          </objectPr>
        </oleObject>
      </mc:Choice>
      <mc:Fallback>
        <oleObject progId="Equation.2" shapeId="29706" r:id="rId22"/>
      </mc:Fallback>
    </mc:AlternateContent>
    <mc:AlternateContent xmlns:mc="http://schemas.openxmlformats.org/markup-compatibility/2006">
      <mc:Choice Requires="x14">
        <oleObject progId="Equation.2" shapeId="29707" r:id="rId24">
          <objectPr defaultSize="0" autoLine="0" autoPict="0" r:id="rId25">
            <anchor moveWithCells="1">
              <from>
                <xdr:col>1</xdr:col>
                <xdr:colOff>228600</xdr:colOff>
                <xdr:row>100</xdr:row>
                <xdr:rowOff>28575</xdr:rowOff>
              </from>
              <to>
                <xdr:col>2</xdr:col>
                <xdr:colOff>257175</xdr:colOff>
                <xdr:row>101</xdr:row>
                <xdr:rowOff>38100</xdr:rowOff>
              </to>
            </anchor>
          </objectPr>
        </oleObject>
      </mc:Choice>
      <mc:Fallback>
        <oleObject progId="Equation.2" shapeId="29707" r:id="rId24"/>
      </mc:Fallback>
    </mc:AlternateContent>
    <mc:AlternateContent xmlns:mc="http://schemas.openxmlformats.org/markup-compatibility/2006">
      <mc:Choice Requires="x14">
        <oleObject progId="Equation.2" shapeId="29708" r:id="rId26">
          <objectPr defaultSize="0" autoLine="0" autoPict="0" r:id="rId27">
            <anchor moveWithCells="1">
              <from>
                <xdr:col>1</xdr:col>
                <xdr:colOff>257175</xdr:colOff>
                <xdr:row>147</xdr:row>
                <xdr:rowOff>9525</xdr:rowOff>
              </from>
              <to>
                <xdr:col>2</xdr:col>
                <xdr:colOff>438150</xdr:colOff>
                <xdr:row>148</xdr:row>
                <xdr:rowOff>9525</xdr:rowOff>
              </to>
            </anchor>
          </objectPr>
        </oleObject>
      </mc:Choice>
      <mc:Fallback>
        <oleObject progId="Equation.2" shapeId="29708" r:id="rId26"/>
      </mc:Fallback>
    </mc:AlternateContent>
    <mc:AlternateContent xmlns:mc="http://schemas.openxmlformats.org/markup-compatibility/2006">
      <mc:Choice Requires="x14">
        <oleObject progId="Equation.2" shapeId="29709" r:id="rId28">
          <objectPr defaultSize="0" autoLine="0" autoPict="0" r:id="rId29">
            <anchor moveWithCells="1">
              <from>
                <xdr:col>1</xdr:col>
                <xdr:colOff>257175</xdr:colOff>
                <xdr:row>152</xdr:row>
                <xdr:rowOff>0</xdr:rowOff>
              </from>
              <to>
                <xdr:col>3</xdr:col>
                <xdr:colOff>704850</xdr:colOff>
                <xdr:row>153</xdr:row>
                <xdr:rowOff>0</xdr:rowOff>
              </to>
            </anchor>
          </objectPr>
        </oleObject>
      </mc:Choice>
      <mc:Fallback>
        <oleObject progId="Equation.2" shapeId="29709" r:id="rId28"/>
      </mc:Fallback>
    </mc:AlternateContent>
    <mc:AlternateContent xmlns:mc="http://schemas.openxmlformats.org/markup-compatibility/2006">
      <mc:Choice Requires="x14">
        <oleObject progId="Equation.2" shapeId="29710" r:id="rId30">
          <objectPr defaultSize="0" autoLine="0" autoPict="0" r:id="rId31">
            <anchor moveWithCells="1">
              <from>
                <xdr:col>1</xdr:col>
                <xdr:colOff>266700</xdr:colOff>
                <xdr:row>155</xdr:row>
                <xdr:rowOff>47625</xdr:rowOff>
              </from>
              <to>
                <xdr:col>2</xdr:col>
                <xdr:colOff>676275</xdr:colOff>
                <xdr:row>156</xdr:row>
                <xdr:rowOff>47625</xdr:rowOff>
              </to>
            </anchor>
          </objectPr>
        </oleObject>
      </mc:Choice>
      <mc:Fallback>
        <oleObject progId="Equation.2" shapeId="29710" r:id="rId30"/>
      </mc:Fallback>
    </mc:AlternateContent>
    <mc:AlternateContent xmlns:mc="http://schemas.openxmlformats.org/markup-compatibility/2006">
      <mc:Choice Requires="x14">
        <oleObject progId="Equation.2" shapeId="29711" r:id="rId32">
          <objectPr defaultSize="0" autoLine="0" autoPict="0" r:id="rId33">
            <anchor moveWithCells="1">
              <from>
                <xdr:col>1</xdr:col>
                <xdr:colOff>266700</xdr:colOff>
                <xdr:row>160</xdr:row>
                <xdr:rowOff>47625</xdr:rowOff>
              </from>
              <to>
                <xdr:col>2</xdr:col>
                <xdr:colOff>409575</xdr:colOff>
                <xdr:row>161</xdr:row>
                <xdr:rowOff>47625</xdr:rowOff>
              </to>
            </anchor>
          </objectPr>
        </oleObject>
      </mc:Choice>
      <mc:Fallback>
        <oleObject progId="Equation.2" shapeId="29711" r:id="rId32"/>
      </mc:Fallback>
    </mc:AlternateContent>
    <mc:AlternateContent xmlns:mc="http://schemas.openxmlformats.org/markup-compatibility/2006">
      <mc:Choice Requires="x14">
        <oleObject progId="Equation.2" shapeId="29712" r:id="rId34">
          <objectPr defaultSize="0" autoLine="0" autoPict="0" r:id="rId35">
            <anchor moveWithCells="1">
              <from>
                <xdr:col>1</xdr:col>
                <xdr:colOff>266700</xdr:colOff>
                <xdr:row>162</xdr:row>
                <xdr:rowOff>38100</xdr:rowOff>
              </from>
              <to>
                <xdr:col>2</xdr:col>
                <xdr:colOff>390525</xdr:colOff>
                <xdr:row>163</xdr:row>
                <xdr:rowOff>38100</xdr:rowOff>
              </to>
            </anchor>
          </objectPr>
        </oleObject>
      </mc:Choice>
      <mc:Fallback>
        <oleObject progId="Equation.2" shapeId="29712" r:id="rId34"/>
      </mc:Fallback>
    </mc:AlternateContent>
    <mc:AlternateContent xmlns:mc="http://schemas.openxmlformats.org/markup-compatibility/2006">
      <mc:Choice Requires="x14">
        <oleObject progId="Equation.2" shapeId="29713" r:id="rId36">
          <objectPr defaultSize="0" autoLine="0" autoPict="0" r:id="rId37">
            <anchor moveWithCells="1">
              <from>
                <xdr:col>1</xdr:col>
                <xdr:colOff>266700</xdr:colOff>
                <xdr:row>164</xdr:row>
                <xdr:rowOff>38100</xdr:rowOff>
              </from>
              <to>
                <xdr:col>2</xdr:col>
                <xdr:colOff>447675</xdr:colOff>
                <xdr:row>165</xdr:row>
                <xdr:rowOff>38100</xdr:rowOff>
              </to>
            </anchor>
          </objectPr>
        </oleObject>
      </mc:Choice>
      <mc:Fallback>
        <oleObject progId="Equation.2" shapeId="29713" r:id="rId36"/>
      </mc:Fallback>
    </mc:AlternateContent>
    <mc:AlternateContent xmlns:mc="http://schemas.openxmlformats.org/markup-compatibility/2006">
      <mc:Choice Requires="x14">
        <oleObject progId="Equation.2" shapeId="29714" r:id="rId38">
          <objectPr defaultSize="0" autoLine="0" autoPict="0" r:id="rId39">
            <anchor moveWithCells="1">
              <from>
                <xdr:col>1</xdr:col>
                <xdr:colOff>266700</xdr:colOff>
                <xdr:row>166</xdr:row>
                <xdr:rowOff>38100</xdr:rowOff>
              </from>
              <to>
                <xdr:col>2</xdr:col>
                <xdr:colOff>381000</xdr:colOff>
                <xdr:row>167</xdr:row>
                <xdr:rowOff>38100</xdr:rowOff>
              </to>
            </anchor>
          </objectPr>
        </oleObject>
      </mc:Choice>
      <mc:Fallback>
        <oleObject progId="Equation.2" shapeId="29714" r:id="rId38"/>
      </mc:Fallback>
    </mc:AlternateContent>
    <mc:AlternateContent xmlns:mc="http://schemas.openxmlformats.org/markup-compatibility/2006">
      <mc:Choice Requires="x14">
        <oleObject progId="Equation.2" shapeId="29715" r:id="rId40">
          <objectPr defaultSize="0" autoLine="0" autoPict="0" r:id="rId41">
            <anchor moveWithCells="1">
              <from>
                <xdr:col>1</xdr:col>
                <xdr:colOff>266700</xdr:colOff>
                <xdr:row>170</xdr:row>
                <xdr:rowOff>9525</xdr:rowOff>
              </from>
              <to>
                <xdr:col>2</xdr:col>
                <xdr:colOff>390525</xdr:colOff>
                <xdr:row>171</xdr:row>
                <xdr:rowOff>9525</xdr:rowOff>
              </to>
            </anchor>
          </objectPr>
        </oleObject>
      </mc:Choice>
      <mc:Fallback>
        <oleObject progId="Equation.2" shapeId="29715" r:id="rId40"/>
      </mc:Fallback>
    </mc:AlternateContent>
    <mc:AlternateContent xmlns:mc="http://schemas.openxmlformats.org/markup-compatibility/2006">
      <mc:Choice Requires="x14">
        <oleObject progId="Equation.2" shapeId="29716" r:id="rId42">
          <objectPr defaultSize="0" autoLine="0" autoPict="0" r:id="rId43">
            <anchor moveWithCells="1">
              <from>
                <xdr:col>1</xdr:col>
                <xdr:colOff>266700</xdr:colOff>
                <xdr:row>172</xdr:row>
                <xdr:rowOff>38100</xdr:rowOff>
              </from>
              <to>
                <xdr:col>2</xdr:col>
                <xdr:colOff>371475</xdr:colOff>
                <xdr:row>173</xdr:row>
                <xdr:rowOff>38100</xdr:rowOff>
              </to>
            </anchor>
          </objectPr>
        </oleObject>
      </mc:Choice>
      <mc:Fallback>
        <oleObject progId="Equation.2" shapeId="29716" r:id="rId42"/>
      </mc:Fallback>
    </mc:AlternateContent>
    <mc:AlternateContent xmlns:mc="http://schemas.openxmlformats.org/markup-compatibility/2006">
      <mc:Choice Requires="x14">
        <oleObject progId="Equation.2" shapeId="29717" r:id="rId44">
          <objectPr defaultSize="0" autoLine="0" autoPict="0" r:id="rId45">
            <anchor moveWithCells="1">
              <from>
                <xdr:col>1</xdr:col>
                <xdr:colOff>295275</xdr:colOff>
                <xdr:row>176</xdr:row>
                <xdr:rowOff>19050</xdr:rowOff>
              </from>
              <to>
                <xdr:col>2</xdr:col>
                <xdr:colOff>438150</xdr:colOff>
                <xdr:row>177</xdr:row>
                <xdr:rowOff>19050</xdr:rowOff>
              </to>
            </anchor>
          </objectPr>
        </oleObject>
      </mc:Choice>
      <mc:Fallback>
        <oleObject progId="Equation.2" shapeId="29717" r:id="rId44"/>
      </mc:Fallback>
    </mc:AlternateContent>
    <mc:AlternateContent xmlns:mc="http://schemas.openxmlformats.org/markup-compatibility/2006">
      <mc:Choice Requires="x14">
        <oleObject progId="Equation.2" shapeId="29718" r:id="rId46">
          <objectPr defaultSize="0" autoLine="0" autoPict="0" r:id="rId47">
            <anchor moveWithCells="1">
              <from>
                <xdr:col>1</xdr:col>
                <xdr:colOff>266700</xdr:colOff>
                <xdr:row>182</xdr:row>
                <xdr:rowOff>19050</xdr:rowOff>
              </from>
              <to>
                <xdr:col>2</xdr:col>
                <xdr:colOff>657225</xdr:colOff>
                <xdr:row>183</xdr:row>
                <xdr:rowOff>19050</xdr:rowOff>
              </to>
            </anchor>
          </objectPr>
        </oleObject>
      </mc:Choice>
      <mc:Fallback>
        <oleObject progId="Equation.2" shapeId="29718" r:id="rId46"/>
      </mc:Fallback>
    </mc:AlternateContent>
    <mc:AlternateContent xmlns:mc="http://schemas.openxmlformats.org/markup-compatibility/2006">
      <mc:Choice Requires="x14">
        <oleObject progId="Equation.2" shapeId="29719" r:id="rId48">
          <objectPr defaultSize="0" autoLine="0" autoPict="0" r:id="rId49">
            <anchor moveWithCells="1">
              <from>
                <xdr:col>1</xdr:col>
                <xdr:colOff>266700</xdr:colOff>
                <xdr:row>186</xdr:row>
                <xdr:rowOff>9525</xdr:rowOff>
              </from>
              <to>
                <xdr:col>3</xdr:col>
                <xdr:colOff>85725</xdr:colOff>
                <xdr:row>187</xdr:row>
                <xdr:rowOff>19050</xdr:rowOff>
              </to>
            </anchor>
          </objectPr>
        </oleObject>
      </mc:Choice>
      <mc:Fallback>
        <oleObject progId="Equation.2" shapeId="29719" r:id="rId48"/>
      </mc:Fallback>
    </mc:AlternateContent>
    <mc:AlternateContent xmlns:mc="http://schemas.openxmlformats.org/markup-compatibility/2006">
      <mc:Choice Requires="x14">
        <oleObject progId="Equation.2" shapeId="29720" r:id="rId50">
          <objectPr defaultSize="0" autoLine="0" autoPict="0" r:id="rId51">
            <anchor moveWithCells="1">
              <from>
                <xdr:col>1</xdr:col>
                <xdr:colOff>276225</xdr:colOff>
                <xdr:row>198</xdr:row>
                <xdr:rowOff>38100</xdr:rowOff>
              </from>
              <to>
                <xdr:col>2</xdr:col>
                <xdr:colOff>247650</xdr:colOff>
                <xdr:row>199</xdr:row>
                <xdr:rowOff>38100</xdr:rowOff>
              </to>
            </anchor>
          </objectPr>
        </oleObject>
      </mc:Choice>
      <mc:Fallback>
        <oleObject progId="Equation.2" shapeId="29720" r:id="rId50"/>
      </mc:Fallback>
    </mc:AlternateContent>
    <mc:AlternateContent xmlns:mc="http://schemas.openxmlformats.org/markup-compatibility/2006">
      <mc:Choice Requires="x14">
        <oleObject progId="Equation.2" shapeId="29721" r:id="rId52">
          <objectPr defaultSize="0" autoLine="0" autoPict="0" r:id="rId53">
            <anchor moveWithCells="1">
              <from>
                <xdr:col>1</xdr:col>
                <xdr:colOff>266700</xdr:colOff>
                <xdr:row>189</xdr:row>
                <xdr:rowOff>19050</xdr:rowOff>
              </from>
              <to>
                <xdr:col>3</xdr:col>
                <xdr:colOff>695325</xdr:colOff>
                <xdr:row>191</xdr:row>
                <xdr:rowOff>161925</xdr:rowOff>
              </to>
            </anchor>
          </objectPr>
        </oleObject>
      </mc:Choice>
      <mc:Fallback>
        <oleObject progId="Equation.2" shapeId="29721" r:id="rId52"/>
      </mc:Fallback>
    </mc:AlternateContent>
    <mc:AlternateContent xmlns:mc="http://schemas.openxmlformats.org/markup-compatibility/2006">
      <mc:Choice Requires="x14">
        <oleObject progId="Equation.2" shapeId="29722" r:id="rId54">
          <objectPr defaultSize="0" autoLine="0" autoPict="0" r:id="rId55">
            <anchor moveWithCells="1">
              <from>
                <xdr:col>1</xdr:col>
                <xdr:colOff>28575</xdr:colOff>
                <xdr:row>68</xdr:row>
                <xdr:rowOff>19050</xdr:rowOff>
              </from>
              <to>
                <xdr:col>4</xdr:col>
                <xdr:colOff>247650</xdr:colOff>
                <xdr:row>69</xdr:row>
                <xdr:rowOff>47625</xdr:rowOff>
              </to>
            </anchor>
          </objectPr>
        </oleObject>
      </mc:Choice>
      <mc:Fallback>
        <oleObject progId="Equation.2" shapeId="29722" r:id="rId54"/>
      </mc:Fallback>
    </mc:AlternateContent>
    <mc:AlternateContent xmlns:mc="http://schemas.openxmlformats.org/markup-compatibility/2006">
      <mc:Choice Requires="x14">
        <oleObject progId="Equation.2" shapeId="29723" r:id="rId56">
          <objectPr defaultSize="0" autoLine="0" autoPict="0" r:id="rId57">
            <anchor moveWithCells="1">
              <from>
                <xdr:col>1</xdr:col>
                <xdr:colOff>28575</xdr:colOff>
                <xdr:row>69</xdr:row>
                <xdr:rowOff>133350</xdr:rowOff>
              </from>
              <to>
                <xdr:col>4</xdr:col>
                <xdr:colOff>209550</xdr:colOff>
                <xdr:row>70</xdr:row>
                <xdr:rowOff>161925</xdr:rowOff>
              </to>
            </anchor>
          </objectPr>
        </oleObject>
      </mc:Choice>
      <mc:Fallback>
        <oleObject progId="Equation.2" shapeId="29723" r:id="rId56"/>
      </mc:Fallback>
    </mc:AlternateContent>
    <mc:AlternateContent xmlns:mc="http://schemas.openxmlformats.org/markup-compatibility/2006">
      <mc:Choice Requires="x14">
        <oleObject progId="Equation.2" shapeId="29724" r:id="rId58">
          <objectPr defaultSize="0" autoLine="0" autoPict="0" r:id="rId59">
            <anchor moveWithCells="1">
              <from>
                <xdr:col>1</xdr:col>
                <xdr:colOff>19050</xdr:colOff>
                <xdr:row>71</xdr:row>
                <xdr:rowOff>66675</xdr:rowOff>
              </from>
              <to>
                <xdr:col>3</xdr:col>
                <xdr:colOff>800100</xdr:colOff>
                <xdr:row>72</xdr:row>
                <xdr:rowOff>85725</xdr:rowOff>
              </to>
            </anchor>
          </objectPr>
        </oleObject>
      </mc:Choice>
      <mc:Fallback>
        <oleObject progId="Equation.2" shapeId="29724" r:id="rId58"/>
      </mc:Fallback>
    </mc:AlternateContent>
    <mc:AlternateContent xmlns:mc="http://schemas.openxmlformats.org/markup-compatibility/2006">
      <mc:Choice Requires="x14">
        <oleObject progId="Equation.2" shapeId="29725" r:id="rId60">
          <objectPr defaultSize="0" autoLine="0" autoPict="0" r:id="rId61">
            <anchor moveWithCells="1">
              <from>
                <xdr:col>1</xdr:col>
                <xdr:colOff>28575</xdr:colOff>
                <xdr:row>86</xdr:row>
                <xdr:rowOff>19050</xdr:rowOff>
              </from>
              <to>
                <xdr:col>3</xdr:col>
                <xdr:colOff>304800</xdr:colOff>
                <xdr:row>87</xdr:row>
                <xdr:rowOff>19050</xdr:rowOff>
              </to>
            </anchor>
          </objectPr>
        </oleObject>
      </mc:Choice>
      <mc:Fallback>
        <oleObject progId="Equation.2" shapeId="29725" r:id="rId60"/>
      </mc:Fallback>
    </mc:AlternateContent>
    <mc:AlternateContent xmlns:mc="http://schemas.openxmlformats.org/markup-compatibility/2006">
      <mc:Choice Requires="x14">
        <oleObject progId="Equation.2" shapeId="29726" r:id="rId62">
          <objectPr defaultSize="0" autoLine="0" autoPict="0" r:id="rId63">
            <anchor moveWithCells="1">
              <from>
                <xdr:col>1</xdr:col>
                <xdr:colOff>228600</xdr:colOff>
                <xdr:row>94</xdr:row>
                <xdr:rowOff>114300</xdr:rowOff>
              </from>
              <to>
                <xdr:col>3</xdr:col>
                <xdr:colOff>133350</xdr:colOff>
                <xdr:row>96</xdr:row>
                <xdr:rowOff>152400</xdr:rowOff>
              </to>
            </anchor>
          </objectPr>
        </oleObject>
      </mc:Choice>
      <mc:Fallback>
        <oleObject progId="Equation.2" shapeId="29726" r:id="rId62"/>
      </mc:Fallback>
    </mc:AlternateContent>
    <mc:AlternateContent xmlns:mc="http://schemas.openxmlformats.org/markup-compatibility/2006">
      <mc:Choice Requires="x14">
        <oleObject progId="Equation.2" shapeId="29727" r:id="rId64">
          <objectPr defaultSize="0" autoLine="0" autoPict="0" r:id="rId65">
            <anchor moveWithCells="1">
              <from>
                <xdr:col>6</xdr:col>
                <xdr:colOff>714375</xdr:colOff>
                <xdr:row>95</xdr:row>
                <xdr:rowOff>19050</xdr:rowOff>
              </from>
              <to>
                <xdr:col>7</xdr:col>
                <xdr:colOff>933450</xdr:colOff>
                <xdr:row>97</xdr:row>
                <xdr:rowOff>171450</xdr:rowOff>
              </to>
            </anchor>
          </objectPr>
        </oleObject>
      </mc:Choice>
      <mc:Fallback>
        <oleObject progId="Equation.2" shapeId="29727" r:id="rId64"/>
      </mc:Fallback>
    </mc:AlternateContent>
    <mc:AlternateContent xmlns:mc="http://schemas.openxmlformats.org/markup-compatibility/2006">
      <mc:Choice Requires="x14">
        <oleObject progId="Equation.2" shapeId="29728" r:id="rId66">
          <objectPr defaultSize="0" autoLine="0" autoPict="0" r:id="rId67">
            <anchor moveWithCells="1">
              <from>
                <xdr:col>1</xdr:col>
                <xdr:colOff>228600</xdr:colOff>
                <xdr:row>112</xdr:row>
                <xdr:rowOff>180975</xdr:rowOff>
              </from>
              <to>
                <xdr:col>3</xdr:col>
                <xdr:colOff>733425</xdr:colOff>
                <xdr:row>114</xdr:row>
                <xdr:rowOff>19050</xdr:rowOff>
              </to>
            </anchor>
          </objectPr>
        </oleObject>
      </mc:Choice>
      <mc:Fallback>
        <oleObject progId="Equation.2" shapeId="29728" r:id="rId66"/>
      </mc:Fallback>
    </mc:AlternateContent>
    <mc:AlternateContent xmlns:mc="http://schemas.openxmlformats.org/markup-compatibility/2006">
      <mc:Choice Requires="x14">
        <oleObject progId="Equation.2" shapeId="29729" r:id="rId68">
          <objectPr defaultSize="0" autoLine="0" autoPict="0" r:id="rId69">
            <anchor moveWithCells="1">
              <from>
                <xdr:col>1</xdr:col>
                <xdr:colOff>238125</xdr:colOff>
                <xdr:row>119</xdr:row>
                <xdr:rowOff>114300</xdr:rowOff>
              </from>
              <to>
                <xdr:col>7</xdr:col>
                <xdr:colOff>704850</xdr:colOff>
                <xdr:row>121</xdr:row>
                <xdr:rowOff>104775</xdr:rowOff>
              </to>
            </anchor>
          </objectPr>
        </oleObject>
      </mc:Choice>
      <mc:Fallback>
        <oleObject progId="Equation.2" shapeId="29729" r:id="rId68"/>
      </mc:Fallback>
    </mc:AlternateContent>
    <mc:AlternateContent xmlns:mc="http://schemas.openxmlformats.org/markup-compatibility/2006">
      <mc:Choice Requires="x14">
        <oleObject progId="Equation.2" shapeId="29730" r:id="rId70">
          <objectPr defaultSize="0" autoLine="0" autoPict="0" r:id="rId71">
            <anchor moveWithCells="1">
              <from>
                <xdr:col>1</xdr:col>
                <xdr:colOff>238125</xdr:colOff>
                <xdr:row>121</xdr:row>
                <xdr:rowOff>142875</xdr:rowOff>
              </from>
              <to>
                <xdr:col>5</xdr:col>
                <xdr:colOff>352425</xdr:colOff>
                <xdr:row>123</xdr:row>
                <xdr:rowOff>133350</xdr:rowOff>
              </to>
            </anchor>
          </objectPr>
        </oleObject>
      </mc:Choice>
      <mc:Fallback>
        <oleObject progId="Equation.2" shapeId="29730" r:id="rId70"/>
      </mc:Fallback>
    </mc:AlternateContent>
    <mc:AlternateContent xmlns:mc="http://schemas.openxmlformats.org/markup-compatibility/2006">
      <mc:Choice Requires="x14">
        <oleObject progId="Equation.2" shapeId="29731" r:id="rId72">
          <objectPr defaultSize="0" autoLine="0" autoPict="0" r:id="rId73">
            <anchor moveWithCells="1">
              <from>
                <xdr:col>1</xdr:col>
                <xdr:colOff>257175</xdr:colOff>
                <xdr:row>150</xdr:row>
                <xdr:rowOff>9525</xdr:rowOff>
              </from>
              <to>
                <xdr:col>4</xdr:col>
                <xdr:colOff>209550</xdr:colOff>
                <xdr:row>151</xdr:row>
                <xdr:rowOff>9525</xdr:rowOff>
              </to>
            </anchor>
          </objectPr>
        </oleObject>
      </mc:Choice>
      <mc:Fallback>
        <oleObject progId="Equation.2" shapeId="29731" r:id="rId72"/>
      </mc:Fallback>
    </mc:AlternateContent>
    <mc:AlternateContent xmlns:mc="http://schemas.openxmlformats.org/markup-compatibility/2006">
      <mc:Choice Requires="x14">
        <oleObject progId="Equation.2" shapeId="29732" r:id="rId74">
          <objectPr defaultSize="0" autoLine="0" autoPict="0" r:id="rId75">
            <anchor moveWithCells="1">
              <from>
                <xdr:col>6</xdr:col>
                <xdr:colOff>247650</xdr:colOff>
                <xdr:row>112</xdr:row>
                <xdr:rowOff>171450</xdr:rowOff>
              </from>
              <to>
                <xdr:col>7</xdr:col>
                <xdr:colOff>904875</xdr:colOff>
                <xdr:row>114</xdr:row>
                <xdr:rowOff>9525</xdr:rowOff>
              </to>
            </anchor>
          </objectPr>
        </oleObject>
      </mc:Choice>
      <mc:Fallback>
        <oleObject progId="Equation.2" shapeId="29732" r:id="rId74"/>
      </mc:Fallback>
    </mc:AlternateContent>
    <mc:AlternateContent xmlns:mc="http://schemas.openxmlformats.org/markup-compatibility/2006">
      <mc:Choice Requires="x14">
        <oleObject progId="Equation.2" shapeId="29733" r:id="rId76">
          <objectPr defaultSize="0" autoLine="0" autoPict="0" r:id="rId77">
            <anchor moveWithCells="1">
              <from>
                <xdr:col>1</xdr:col>
                <xdr:colOff>381000</xdr:colOff>
                <xdr:row>241</xdr:row>
                <xdr:rowOff>9525</xdr:rowOff>
              </from>
              <to>
                <xdr:col>4</xdr:col>
                <xdr:colOff>171450</xdr:colOff>
                <xdr:row>242</xdr:row>
                <xdr:rowOff>9525</xdr:rowOff>
              </to>
            </anchor>
          </objectPr>
        </oleObject>
      </mc:Choice>
      <mc:Fallback>
        <oleObject progId="Equation.2" shapeId="29733" r:id="rId76"/>
      </mc:Fallback>
    </mc:AlternateContent>
    <mc:AlternateContent xmlns:mc="http://schemas.openxmlformats.org/markup-compatibility/2006">
      <mc:Choice Requires="x14">
        <oleObject progId="Equation.2" shapeId="29734" r:id="rId78">
          <objectPr defaultSize="0" autoLine="0" autoPict="0" r:id="rId79">
            <anchor moveWithCells="1">
              <from>
                <xdr:col>1</xdr:col>
                <xdr:colOff>152400</xdr:colOff>
                <xdr:row>372</xdr:row>
                <xdr:rowOff>9525</xdr:rowOff>
              </from>
              <to>
                <xdr:col>3</xdr:col>
                <xdr:colOff>628650</xdr:colOff>
                <xdr:row>373</xdr:row>
                <xdr:rowOff>38100</xdr:rowOff>
              </to>
            </anchor>
          </objectPr>
        </oleObject>
      </mc:Choice>
      <mc:Fallback>
        <oleObject progId="Equation.2" shapeId="29734" r:id="rId78"/>
      </mc:Fallback>
    </mc:AlternateContent>
    <mc:AlternateContent xmlns:mc="http://schemas.openxmlformats.org/markup-compatibility/2006">
      <mc:Choice Requires="x14">
        <oleObject progId="Equation.2" shapeId="29735" r:id="rId80">
          <objectPr defaultSize="0" autoLine="0" autoPict="0" r:id="rId81">
            <anchor moveWithCells="1">
              <from>
                <xdr:col>2</xdr:col>
                <xdr:colOff>38100</xdr:colOff>
                <xdr:row>365</xdr:row>
                <xdr:rowOff>47625</xdr:rowOff>
              </from>
              <to>
                <xdr:col>2</xdr:col>
                <xdr:colOff>600075</xdr:colOff>
                <xdr:row>366</xdr:row>
                <xdr:rowOff>57150</xdr:rowOff>
              </to>
            </anchor>
          </objectPr>
        </oleObject>
      </mc:Choice>
      <mc:Fallback>
        <oleObject progId="Equation.2" shapeId="29735" r:id="rId80"/>
      </mc:Fallback>
    </mc:AlternateContent>
    <mc:AlternateContent xmlns:mc="http://schemas.openxmlformats.org/markup-compatibility/2006">
      <mc:Choice Requires="x14">
        <oleObject progId="Equation.2" shapeId="29736" r:id="rId82">
          <objectPr defaultSize="0" autoLine="0" autoPict="0" r:id="rId83">
            <anchor moveWithCells="1">
              <from>
                <xdr:col>3</xdr:col>
                <xdr:colOff>762000</xdr:colOff>
                <xdr:row>335</xdr:row>
                <xdr:rowOff>47625</xdr:rowOff>
              </from>
              <to>
                <xdr:col>5</xdr:col>
                <xdr:colOff>590550</xdr:colOff>
                <xdr:row>337</xdr:row>
                <xdr:rowOff>114300</xdr:rowOff>
              </to>
            </anchor>
          </objectPr>
        </oleObject>
      </mc:Choice>
      <mc:Fallback>
        <oleObject progId="Equation.2" shapeId="29736" r:id="rId82"/>
      </mc:Fallback>
    </mc:AlternateContent>
    <mc:AlternateContent xmlns:mc="http://schemas.openxmlformats.org/markup-compatibility/2006">
      <mc:Choice Requires="x14">
        <oleObject progId="Equation.2" shapeId="29737" r:id="rId84">
          <objectPr defaultSize="0" autoLine="0" autoPict="0" r:id="rId85">
            <anchor moveWithCells="1">
              <from>
                <xdr:col>1</xdr:col>
                <xdr:colOff>762000</xdr:colOff>
                <xdr:row>358</xdr:row>
                <xdr:rowOff>114300</xdr:rowOff>
              </from>
              <to>
                <xdr:col>3</xdr:col>
                <xdr:colOff>314325</xdr:colOff>
                <xdr:row>360</xdr:row>
                <xdr:rowOff>104775</xdr:rowOff>
              </to>
            </anchor>
          </objectPr>
        </oleObject>
      </mc:Choice>
      <mc:Fallback>
        <oleObject progId="Equation.2" shapeId="29737" r:id="rId84"/>
      </mc:Fallback>
    </mc:AlternateContent>
    <mc:AlternateContent xmlns:mc="http://schemas.openxmlformats.org/markup-compatibility/2006">
      <mc:Choice Requires="x14">
        <oleObject progId="Equation.2" shapeId="29738" r:id="rId86">
          <objectPr defaultSize="0" autoLine="0" autoPict="0" r:id="rId87">
            <anchor moveWithCells="1">
              <from>
                <xdr:col>7</xdr:col>
                <xdr:colOff>0</xdr:colOff>
                <xdr:row>469</xdr:row>
                <xdr:rowOff>0</xdr:rowOff>
              </from>
              <to>
                <xdr:col>8</xdr:col>
                <xdr:colOff>695325</xdr:colOff>
                <xdr:row>470</xdr:row>
                <xdr:rowOff>28575</xdr:rowOff>
              </to>
            </anchor>
          </objectPr>
        </oleObject>
      </mc:Choice>
      <mc:Fallback>
        <oleObject progId="Equation.2" shapeId="29738" r:id="rId86"/>
      </mc:Fallback>
    </mc:AlternateContent>
    <mc:AlternateContent xmlns:mc="http://schemas.openxmlformats.org/markup-compatibility/2006">
      <mc:Choice Requires="x14">
        <oleObject progId="Equation.2" shapeId="29739" r:id="rId88">
          <objectPr defaultSize="0" autoLine="0" autoPict="0" r:id="rId89">
            <anchor moveWithCells="1">
              <from>
                <xdr:col>7</xdr:col>
                <xdr:colOff>38100</xdr:colOff>
                <xdr:row>356</xdr:row>
                <xdr:rowOff>38100</xdr:rowOff>
              </from>
              <to>
                <xdr:col>8</xdr:col>
                <xdr:colOff>57150</xdr:colOff>
                <xdr:row>357</xdr:row>
                <xdr:rowOff>28575</xdr:rowOff>
              </to>
            </anchor>
          </objectPr>
        </oleObject>
      </mc:Choice>
      <mc:Fallback>
        <oleObject progId="Equation.2" shapeId="29739" r:id="rId88"/>
      </mc:Fallback>
    </mc:AlternateContent>
    <mc:AlternateContent xmlns:mc="http://schemas.openxmlformats.org/markup-compatibility/2006">
      <mc:Choice Requires="x14">
        <oleObject progId="Equation.2" shapeId="29740" r:id="rId90">
          <objectPr defaultSize="0" autoLine="0" autoPict="0" r:id="rId91">
            <anchor moveWithCells="1">
              <from>
                <xdr:col>1</xdr:col>
                <xdr:colOff>266700</xdr:colOff>
                <xdr:row>168</xdr:row>
                <xdr:rowOff>38100</xdr:rowOff>
              </from>
              <to>
                <xdr:col>2</xdr:col>
                <xdr:colOff>409575</xdr:colOff>
                <xdr:row>169</xdr:row>
                <xdr:rowOff>38100</xdr:rowOff>
              </to>
            </anchor>
          </objectPr>
        </oleObject>
      </mc:Choice>
      <mc:Fallback>
        <oleObject progId="Equation.2" shapeId="29740" r:id="rId90"/>
      </mc:Fallback>
    </mc:AlternateContent>
    <mc:AlternateContent xmlns:mc="http://schemas.openxmlformats.org/markup-compatibility/2006">
      <mc:Choice Requires="x14">
        <oleObject progId="Equation.2" shapeId="29741" r:id="rId92">
          <objectPr defaultSize="0" autoLine="0" autoPict="0" r:id="rId93">
            <anchor moveWithCells="1">
              <from>
                <xdr:col>1</xdr:col>
                <xdr:colOff>266700</xdr:colOff>
                <xdr:row>174</xdr:row>
                <xdr:rowOff>38100</xdr:rowOff>
              </from>
              <to>
                <xdr:col>2</xdr:col>
                <xdr:colOff>390525</xdr:colOff>
                <xdr:row>175</xdr:row>
                <xdr:rowOff>38100</xdr:rowOff>
              </to>
            </anchor>
          </objectPr>
        </oleObject>
      </mc:Choice>
      <mc:Fallback>
        <oleObject progId="Equation.2" shapeId="29741" r:id="rId92"/>
      </mc:Fallback>
    </mc:AlternateContent>
    <mc:AlternateContent xmlns:mc="http://schemas.openxmlformats.org/markup-compatibility/2006">
      <mc:Choice Requires="x14">
        <oleObject progId="Equation.2" shapeId="29742" r:id="rId94">
          <objectPr defaultSize="0" autoLine="0" autoPict="0" r:id="rId95">
            <anchor moveWithCells="1">
              <from>
                <xdr:col>2</xdr:col>
                <xdr:colOff>47625</xdr:colOff>
                <xdr:row>360</xdr:row>
                <xdr:rowOff>133350</xdr:rowOff>
              </from>
              <to>
                <xdr:col>3</xdr:col>
                <xdr:colOff>771525</xdr:colOff>
                <xdr:row>362</xdr:row>
                <xdr:rowOff>85725</xdr:rowOff>
              </to>
            </anchor>
          </objectPr>
        </oleObject>
      </mc:Choice>
      <mc:Fallback>
        <oleObject progId="Equation.2" shapeId="29742" r:id="rId94"/>
      </mc:Fallback>
    </mc:AlternateContent>
    <mc:AlternateContent xmlns:mc="http://schemas.openxmlformats.org/markup-compatibility/2006">
      <mc:Choice Requires="x14">
        <oleObject progId="Equation.2" shapeId="29743" r:id="rId96">
          <objectPr defaultSize="0" autoLine="0" autoPict="0" r:id="rId97">
            <anchor moveWithCells="1">
              <from>
                <xdr:col>1</xdr:col>
                <xdr:colOff>457200</xdr:colOff>
                <xdr:row>444</xdr:row>
                <xdr:rowOff>76200</xdr:rowOff>
              </from>
              <to>
                <xdr:col>3</xdr:col>
                <xdr:colOff>238125</xdr:colOff>
                <xdr:row>445</xdr:row>
                <xdr:rowOff>104775</xdr:rowOff>
              </to>
            </anchor>
          </objectPr>
        </oleObject>
      </mc:Choice>
      <mc:Fallback>
        <oleObject progId="Equation.2" shapeId="29743" r:id="rId96"/>
      </mc:Fallback>
    </mc:AlternateContent>
    <mc:AlternateContent xmlns:mc="http://schemas.openxmlformats.org/markup-compatibility/2006">
      <mc:Choice Requires="x14">
        <oleObject progId="Equation.2" shapeId="29744" r:id="rId98">
          <objectPr defaultSize="0" autoLine="0" autoPict="0" r:id="rId99">
            <anchor moveWithCells="1">
              <from>
                <xdr:col>1</xdr:col>
                <xdr:colOff>762000</xdr:colOff>
                <xdr:row>445</xdr:row>
                <xdr:rowOff>133350</xdr:rowOff>
              </from>
              <to>
                <xdr:col>2</xdr:col>
                <xdr:colOff>409575</xdr:colOff>
                <xdr:row>447</xdr:row>
                <xdr:rowOff>123825</xdr:rowOff>
              </to>
            </anchor>
          </objectPr>
        </oleObject>
      </mc:Choice>
      <mc:Fallback>
        <oleObject progId="Equation.2" shapeId="29744" r:id="rId98"/>
      </mc:Fallback>
    </mc:AlternateContent>
    <mc:AlternateContent xmlns:mc="http://schemas.openxmlformats.org/markup-compatibility/2006">
      <mc:Choice Requires="x14">
        <oleObject progId="Equation.2" shapeId="29745" r:id="rId100">
          <objectPr defaultSize="0" autoLine="0" autoPict="0" r:id="rId101">
            <anchor moveWithCells="1">
              <from>
                <xdr:col>1</xdr:col>
                <xdr:colOff>276225</xdr:colOff>
                <xdr:row>195</xdr:row>
                <xdr:rowOff>38100</xdr:rowOff>
              </from>
              <to>
                <xdr:col>2</xdr:col>
                <xdr:colOff>247650</xdr:colOff>
                <xdr:row>196</xdr:row>
                <xdr:rowOff>38100</xdr:rowOff>
              </to>
            </anchor>
          </objectPr>
        </oleObject>
      </mc:Choice>
      <mc:Fallback>
        <oleObject progId="Equation.2" shapeId="29745" r:id="rId100"/>
      </mc:Fallback>
    </mc:AlternateContent>
    <mc:AlternateContent xmlns:mc="http://schemas.openxmlformats.org/markup-compatibility/2006">
      <mc:Choice Requires="x14">
        <oleObject progId="Equation.2" shapeId="29746" r:id="rId102">
          <objectPr defaultSize="0" autoLine="0" autoPict="0" r:id="rId103">
            <anchor moveWithCells="1">
              <from>
                <xdr:col>1</xdr:col>
                <xdr:colOff>276225</xdr:colOff>
                <xdr:row>207</xdr:row>
                <xdr:rowOff>0</xdr:rowOff>
              </from>
              <to>
                <xdr:col>5</xdr:col>
                <xdr:colOff>352425</xdr:colOff>
                <xdr:row>208</xdr:row>
                <xdr:rowOff>38100</xdr:rowOff>
              </to>
            </anchor>
          </objectPr>
        </oleObject>
      </mc:Choice>
      <mc:Fallback>
        <oleObject progId="Equation.2" shapeId="29746" r:id="rId102"/>
      </mc:Fallback>
    </mc:AlternateContent>
    <mc:AlternateContent xmlns:mc="http://schemas.openxmlformats.org/markup-compatibility/2006">
      <mc:Choice Requires="x14">
        <oleObject progId="Equation.2" shapeId="29747" r:id="rId104">
          <objectPr defaultSize="0" autoLine="0" autoPict="0" r:id="rId105">
            <anchor moveWithCells="1">
              <from>
                <xdr:col>2</xdr:col>
                <xdr:colOff>85725</xdr:colOff>
                <xdr:row>210</xdr:row>
                <xdr:rowOff>0</xdr:rowOff>
              </from>
              <to>
                <xdr:col>4</xdr:col>
                <xdr:colOff>257175</xdr:colOff>
                <xdr:row>211</xdr:row>
                <xdr:rowOff>38100</xdr:rowOff>
              </to>
            </anchor>
          </objectPr>
        </oleObject>
      </mc:Choice>
      <mc:Fallback>
        <oleObject progId="Equation.2" shapeId="29747" r:id="rId104"/>
      </mc:Fallback>
    </mc:AlternateContent>
    <mc:AlternateContent xmlns:mc="http://schemas.openxmlformats.org/markup-compatibility/2006">
      <mc:Choice Requires="x14">
        <oleObject progId="Equation.2" shapeId="29748" r:id="rId106">
          <objectPr defaultSize="0" autoLine="0" autoPict="0" r:id="rId107">
            <anchor moveWithCells="1">
              <from>
                <xdr:col>1</xdr:col>
                <xdr:colOff>276225</xdr:colOff>
                <xdr:row>214</xdr:row>
                <xdr:rowOff>19050</xdr:rowOff>
              </from>
              <to>
                <xdr:col>2</xdr:col>
                <xdr:colOff>647700</xdr:colOff>
                <xdr:row>215</xdr:row>
                <xdr:rowOff>28575</xdr:rowOff>
              </to>
            </anchor>
          </objectPr>
        </oleObject>
      </mc:Choice>
      <mc:Fallback>
        <oleObject progId="Equation.2" shapeId="29748" r:id="rId106"/>
      </mc:Fallback>
    </mc:AlternateContent>
    <mc:AlternateContent xmlns:mc="http://schemas.openxmlformats.org/markup-compatibility/2006">
      <mc:Choice Requires="x14">
        <oleObject progId="Equation.2" shapeId="29749" r:id="rId108">
          <objectPr defaultSize="0" autoLine="0" autoPict="0" r:id="rId109">
            <anchor moveWithCells="1">
              <from>
                <xdr:col>1</xdr:col>
                <xdr:colOff>542925</xdr:colOff>
                <xdr:row>217</xdr:row>
                <xdr:rowOff>9525</xdr:rowOff>
              </from>
              <to>
                <xdr:col>5</xdr:col>
                <xdr:colOff>209550</xdr:colOff>
                <xdr:row>218</xdr:row>
                <xdr:rowOff>47625</xdr:rowOff>
              </to>
            </anchor>
          </objectPr>
        </oleObject>
      </mc:Choice>
      <mc:Fallback>
        <oleObject progId="Equation.2" shapeId="29749" r:id="rId108"/>
      </mc:Fallback>
    </mc:AlternateContent>
    <mc:AlternateContent xmlns:mc="http://schemas.openxmlformats.org/markup-compatibility/2006">
      <mc:Choice Requires="x14">
        <oleObject progId="Equation.2" shapeId="29750" r:id="rId110">
          <objectPr defaultSize="0" autoLine="0" autoPict="0" r:id="rId111">
            <anchor moveWithCells="1">
              <from>
                <xdr:col>1</xdr:col>
                <xdr:colOff>523875</xdr:colOff>
                <xdr:row>218</xdr:row>
                <xdr:rowOff>85725</xdr:rowOff>
              </from>
              <to>
                <xdr:col>4</xdr:col>
                <xdr:colOff>552450</xdr:colOff>
                <xdr:row>220</xdr:row>
                <xdr:rowOff>76200</xdr:rowOff>
              </to>
            </anchor>
          </objectPr>
        </oleObject>
      </mc:Choice>
      <mc:Fallback>
        <oleObject progId="Equation.2" shapeId="29750" r:id="rId110"/>
      </mc:Fallback>
    </mc:AlternateContent>
    <mc:AlternateContent xmlns:mc="http://schemas.openxmlformats.org/markup-compatibility/2006">
      <mc:Choice Requires="x14">
        <oleObject progId="Equation.2" shapeId="29751" r:id="rId112">
          <objectPr defaultSize="0" autoLine="0" autoPict="0" r:id="rId113">
            <anchor moveWithCells="1">
              <from>
                <xdr:col>1</xdr:col>
                <xdr:colOff>200025</xdr:colOff>
                <xdr:row>226</xdr:row>
                <xdr:rowOff>19050</xdr:rowOff>
              </from>
              <to>
                <xdr:col>3</xdr:col>
                <xdr:colOff>333375</xdr:colOff>
                <xdr:row>227</xdr:row>
                <xdr:rowOff>19050</xdr:rowOff>
              </to>
            </anchor>
          </objectPr>
        </oleObject>
      </mc:Choice>
      <mc:Fallback>
        <oleObject progId="Equation.2" shapeId="29751" r:id="rId112"/>
      </mc:Fallback>
    </mc:AlternateContent>
    <mc:AlternateContent xmlns:mc="http://schemas.openxmlformats.org/markup-compatibility/2006">
      <mc:Choice Requires="x14">
        <oleObject progId="Equation.2" shapeId="29752" r:id="rId114">
          <objectPr defaultSize="0" autoLine="0" autoPict="0" r:id="rId115">
            <anchor moveWithCells="1">
              <from>
                <xdr:col>1</xdr:col>
                <xdr:colOff>200025</xdr:colOff>
                <xdr:row>229</xdr:row>
                <xdr:rowOff>114300</xdr:rowOff>
              </from>
              <to>
                <xdr:col>2</xdr:col>
                <xdr:colOff>381000</xdr:colOff>
                <xdr:row>231</xdr:row>
                <xdr:rowOff>66675</xdr:rowOff>
              </to>
            </anchor>
          </objectPr>
        </oleObject>
      </mc:Choice>
      <mc:Fallback>
        <oleObject progId="Equation.2" shapeId="29752" r:id="rId114"/>
      </mc:Fallback>
    </mc:AlternateContent>
    <mc:AlternateContent xmlns:mc="http://schemas.openxmlformats.org/markup-compatibility/2006">
      <mc:Choice Requires="x14">
        <oleObject progId="Equation.2" shapeId="29753" r:id="rId116">
          <objectPr defaultSize="0" autoLine="0" autoPict="0" r:id="rId117">
            <anchor moveWithCells="1">
              <from>
                <xdr:col>2</xdr:col>
                <xdr:colOff>38100</xdr:colOff>
                <xdr:row>232</xdr:row>
                <xdr:rowOff>114300</xdr:rowOff>
              </from>
              <to>
                <xdr:col>4</xdr:col>
                <xdr:colOff>200025</xdr:colOff>
                <xdr:row>234</xdr:row>
                <xdr:rowOff>123825</xdr:rowOff>
              </to>
            </anchor>
          </objectPr>
        </oleObject>
      </mc:Choice>
      <mc:Fallback>
        <oleObject progId="Equation.2" shapeId="29753" r:id="rId116"/>
      </mc:Fallback>
    </mc:AlternateContent>
    <mc:AlternateContent xmlns:mc="http://schemas.openxmlformats.org/markup-compatibility/2006">
      <mc:Choice Requires="x14">
        <oleObject progId="Equation.2" shapeId="29754" r:id="rId118">
          <objectPr defaultSize="0" autoLine="0" autoPict="0" r:id="rId119">
            <anchor moveWithCells="1">
              <from>
                <xdr:col>0</xdr:col>
                <xdr:colOff>381000</xdr:colOff>
                <xdr:row>280</xdr:row>
                <xdr:rowOff>171450</xdr:rowOff>
              </from>
              <to>
                <xdr:col>3</xdr:col>
                <xdr:colOff>857250</xdr:colOff>
                <xdr:row>282</xdr:row>
                <xdr:rowOff>19050</xdr:rowOff>
              </to>
            </anchor>
          </objectPr>
        </oleObject>
      </mc:Choice>
      <mc:Fallback>
        <oleObject progId="Equation.2" shapeId="29754" r:id="rId118"/>
      </mc:Fallback>
    </mc:AlternateContent>
    <mc:AlternateContent xmlns:mc="http://schemas.openxmlformats.org/markup-compatibility/2006">
      <mc:Choice Requires="x14">
        <oleObject progId="Equation.2" shapeId="29755" r:id="rId120">
          <objectPr defaultSize="0" autoLine="0" autoPict="0" r:id="rId121">
            <anchor moveWithCells="1">
              <from>
                <xdr:col>0</xdr:col>
                <xdr:colOff>609600</xdr:colOff>
                <xdr:row>300</xdr:row>
                <xdr:rowOff>19050</xdr:rowOff>
              </from>
              <to>
                <xdr:col>3</xdr:col>
                <xdr:colOff>857250</xdr:colOff>
                <xdr:row>301</xdr:row>
                <xdr:rowOff>85725</xdr:rowOff>
              </to>
            </anchor>
          </objectPr>
        </oleObject>
      </mc:Choice>
      <mc:Fallback>
        <oleObject progId="Equation.2" shapeId="29755" r:id="rId120"/>
      </mc:Fallback>
    </mc:AlternateContent>
    <mc:AlternateContent xmlns:mc="http://schemas.openxmlformats.org/markup-compatibility/2006">
      <mc:Choice Requires="x14">
        <oleObject progId="Equation.2" shapeId="29756" r:id="rId122">
          <objectPr defaultSize="0" autoLine="0" autoPict="0" r:id="rId123">
            <anchor moveWithCells="1">
              <from>
                <xdr:col>0</xdr:col>
                <xdr:colOff>457200</xdr:colOff>
                <xdr:row>356</xdr:row>
                <xdr:rowOff>19050</xdr:rowOff>
              </from>
              <to>
                <xdr:col>3</xdr:col>
                <xdr:colOff>542925</xdr:colOff>
                <xdr:row>357</xdr:row>
                <xdr:rowOff>28575</xdr:rowOff>
              </to>
            </anchor>
          </objectPr>
        </oleObject>
      </mc:Choice>
      <mc:Fallback>
        <oleObject progId="Equation.2" shapeId="29756" r:id="rId122"/>
      </mc:Fallback>
    </mc:AlternateContent>
    <mc:AlternateContent xmlns:mc="http://schemas.openxmlformats.org/markup-compatibility/2006">
      <mc:Choice Requires="x14">
        <oleObject progId="Equation.2" shapeId="29757" r:id="rId124">
          <objectPr defaultSize="0" autoLine="0" autoPict="0" r:id="rId125">
            <anchor moveWithCells="1">
              <from>
                <xdr:col>1</xdr:col>
                <xdr:colOff>685800</xdr:colOff>
                <xdr:row>402</xdr:row>
                <xdr:rowOff>123825</xdr:rowOff>
              </from>
              <to>
                <xdr:col>3</xdr:col>
                <xdr:colOff>85725</xdr:colOff>
                <xdr:row>404</xdr:row>
                <xdr:rowOff>95250</xdr:rowOff>
              </to>
            </anchor>
          </objectPr>
        </oleObject>
      </mc:Choice>
      <mc:Fallback>
        <oleObject progId="Equation.2" shapeId="29757" r:id="rId124"/>
      </mc:Fallback>
    </mc:AlternateContent>
    <mc:AlternateContent xmlns:mc="http://schemas.openxmlformats.org/markup-compatibility/2006">
      <mc:Choice Requires="x14">
        <oleObject progId="Equation.2" shapeId="29758" r:id="rId126">
          <objectPr defaultSize="0" autoLine="0" autoPict="0" r:id="rId127">
            <anchor moveWithCells="1">
              <from>
                <xdr:col>2</xdr:col>
                <xdr:colOff>66675</xdr:colOff>
                <xdr:row>404</xdr:row>
                <xdr:rowOff>114300</xdr:rowOff>
              </from>
              <to>
                <xdr:col>3</xdr:col>
                <xdr:colOff>152400</xdr:colOff>
                <xdr:row>406</xdr:row>
                <xdr:rowOff>114300</xdr:rowOff>
              </to>
            </anchor>
          </objectPr>
        </oleObject>
      </mc:Choice>
      <mc:Fallback>
        <oleObject progId="Equation.2" shapeId="29758" r:id="rId126"/>
      </mc:Fallback>
    </mc:AlternateContent>
    <mc:AlternateContent xmlns:mc="http://schemas.openxmlformats.org/markup-compatibility/2006">
      <mc:Choice Requires="x14">
        <oleObject progId="Equation.2" shapeId="29759" r:id="rId128">
          <objectPr defaultSize="0" autoLine="0" autoPict="0" r:id="rId129">
            <anchor moveWithCells="1">
              <from>
                <xdr:col>1</xdr:col>
                <xdr:colOff>628650</xdr:colOff>
                <xdr:row>326</xdr:row>
                <xdr:rowOff>123825</xdr:rowOff>
              </from>
              <to>
                <xdr:col>3</xdr:col>
                <xdr:colOff>142875</xdr:colOff>
                <xdr:row>328</xdr:row>
                <xdr:rowOff>104775</xdr:rowOff>
              </to>
            </anchor>
          </objectPr>
        </oleObject>
      </mc:Choice>
      <mc:Fallback>
        <oleObject progId="Equation.2" shapeId="29759" r:id="rId128"/>
      </mc:Fallback>
    </mc:AlternateContent>
    <mc:AlternateContent xmlns:mc="http://schemas.openxmlformats.org/markup-compatibility/2006">
      <mc:Choice Requires="x14">
        <oleObject progId="Equation.2" shapeId="29760" r:id="rId130">
          <objectPr defaultSize="0" autoLine="0" autoPict="0" r:id="rId131">
            <anchor moveWithCells="1">
              <from>
                <xdr:col>6</xdr:col>
                <xdr:colOff>104775</xdr:colOff>
                <xdr:row>323</xdr:row>
                <xdr:rowOff>28575</xdr:rowOff>
              </from>
              <to>
                <xdr:col>8</xdr:col>
                <xdr:colOff>762000</xdr:colOff>
                <xdr:row>324</xdr:row>
                <xdr:rowOff>66675</xdr:rowOff>
              </to>
            </anchor>
          </objectPr>
        </oleObject>
      </mc:Choice>
      <mc:Fallback>
        <oleObject progId="Equation.2" shapeId="29760" r:id="rId130"/>
      </mc:Fallback>
    </mc:AlternateContent>
    <mc:AlternateContent xmlns:mc="http://schemas.openxmlformats.org/markup-compatibility/2006">
      <mc:Choice Requires="x14">
        <oleObject progId="Equation.2" shapeId="29761" r:id="rId132">
          <objectPr defaultSize="0" autoLine="0" autoPict="0" r:id="rId133">
            <anchor moveWithCells="1">
              <from>
                <xdr:col>6</xdr:col>
                <xdr:colOff>142875</xdr:colOff>
                <xdr:row>440</xdr:row>
                <xdr:rowOff>180975</xdr:rowOff>
              </from>
              <to>
                <xdr:col>7</xdr:col>
                <xdr:colOff>904875</xdr:colOff>
                <xdr:row>442</xdr:row>
                <xdr:rowOff>19050</xdr:rowOff>
              </to>
            </anchor>
          </objectPr>
        </oleObject>
      </mc:Choice>
      <mc:Fallback>
        <oleObject progId="Equation.2" shapeId="29761" r:id="rId132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33"/>
  <sheetViews>
    <sheetView workbookViewId="0">
      <selection activeCell="L19" sqref="L19"/>
    </sheetView>
  </sheetViews>
  <sheetFormatPr defaultColWidth="10.7109375" defaultRowHeight="12.75" x14ac:dyDescent="0.2"/>
  <cols>
    <col min="1" max="1" width="12.7109375" style="357" customWidth="1"/>
    <col min="2" max="2" width="13.42578125" style="357" customWidth="1"/>
    <col min="3" max="7" width="11.7109375" style="357" customWidth="1"/>
    <col min="8" max="8" width="13.7109375" style="357" customWidth="1"/>
    <col min="9" max="9" width="11.7109375" style="357" customWidth="1"/>
    <col min="10" max="10" width="15.7109375" style="357" customWidth="1"/>
    <col min="11" max="11" width="11.7109375" style="357" customWidth="1"/>
    <col min="12" max="12" width="10.7109375" style="357"/>
    <col min="13" max="13" width="10.5703125" style="357" customWidth="1"/>
    <col min="14" max="256" width="10.7109375" style="357"/>
    <col min="257" max="257" width="12.7109375" style="357" customWidth="1"/>
    <col min="258" max="258" width="13.42578125" style="357" customWidth="1"/>
    <col min="259" max="263" width="11.7109375" style="357" customWidth="1"/>
    <col min="264" max="264" width="13.7109375" style="357" customWidth="1"/>
    <col min="265" max="265" width="11.7109375" style="357" customWidth="1"/>
    <col min="266" max="266" width="15.7109375" style="357" customWidth="1"/>
    <col min="267" max="267" width="11.7109375" style="357" customWidth="1"/>
    <col min="268" max="268" width="10.7109375" style="357"/>
    <col min="269" max="269" width="10.5703125" style="357" customWidth="1"/>
    <col min="270" max="512" width="10.7109375" style="357"/>
    <col min="513" max="513" width="12.7109375" style="357" customWidth="1"/>
    <col min="514" max="514" width="13.42578125" style="357" customWidth="1"/>
    <col min="515" max="519" width="11.7109375" style="357" customWidth="1"/>
    <col min="520" max="520" width="13.7109375" style="357" customWidth="1"/>
    <col min="521" max="521" width="11.7109375" style="357" customWidth="1"/>
    <col min="522" max="522" width="15.7109375" style="357" customWidth="1"/>
    <col min="523" max="523" width="11.7109375" style="357" customWidth="1"/>
    <col min="524" max="524" width="10.7109375" style="357"/>
    <col min="525" max="525" width="10.5703125" style="357" customWidth="1"/>
    <col min="526" max="768" width="10.7109375" style="357"/>
    <col min="769" max="769" width="12.7109375" style="357" customWidth="1"/>
    <col min="770" max="770" width="13.42578125" style="357" customWidth="1"/>
    <col min="771" max="775" width="11.7109375" style="357" customWidth="1"/>
    <col min="776" max="776" width="13.7109375" style="357" customWidth="1"/>
    <col min="777" max="777" width="11.7109375" style="357" customWidth="1"/>
    <col min="778" max="778" width="15.7109375" style="357" customWidth="1"/>
    <col min="779" max="779" width="11.7109375" style="357" customWidth="1"/>
    <col min="780" max="780" width="10.7109375" style="357"/>
    <col min="781" max="781" width="10.5703125" style="357" customWidth="1"/>
    <col min="782" max="1024" width="10.7109375" style="357"/>
    <col min="1025" max="1025" width="12.7109375" style="357" customWidth="1"/>
    <col min="1026" max="1026" width="13.42578125" style="357" customWidth="1"/>
    <col min="1027" max="1031" width="11.7109375" style="357" customWidth="1"/>
    <col min="1032" max="1032" width="13.7109375" style="357" customWidth="1"/>
    <col min="1033" max="1033" width="11.7109375" style="357" customWidth="1"/>
    <col min="1034" max="1034" width="15.7109375" style="357" customWidth="1"/>
    <col min="1035" max="1035" width="11.7109375" style="357" customWidth="1"/>
    <col min="1036" max="1036" width="10.7109375" style="357"/>
    <col min="1037" max="1037" width="10.5703125" style="357" customWidth="1"/>
    <col min="1038" max="1280" width="10.7109375" style="357"/>
    <col min="1281" max="1281" width="12.7109375" style="357" customWidth="1"/>
    <col min="1282" max="1282" width="13.42578125" style="357" customWidth="1"/>
    <col min="1283" max="1287" width="11.7109375" style="357" customWidth="1"/>
    <col min="1288" max="1288" width="13.7109375" style="357" customWidth="1"/>
    <col min="1289" max="1289" width="11.7109375" style="357" customWidth="1"/>
    <col min="1290" max="1290" width="15.7109375" style="357" customWidth="1"/>
    <col min="1291" max="1291" width="11.7109375" style="357" customWidth="1"/>
    <col min="1292" max="1292" width="10.7109375" style="357"/>
    <col min="1293" max="1293" width="10.5703125" style="357" customWidth="1"/>
    <col min="1294" max="1536" width="10.7109375" style="357"/>
    <col min="1537" max="1537" width="12.7109375" style="357" customWidth="1"/>
    <col min="1538" max="1538" width="13.42578125" style="357" customWidth="1"/>
    <col min="1539" max="1543" width="11.7109375" style="357" customWidth="1"/>
    <col min="1544" max="1544" width="13.7109375" style="357" customWidth="1"/>
    <col min="1545" max="1545" width="11.7109375" style="357" customWidth="1"/>
    <col min="1546" max="1546" width="15.7109375" style="357" customWidth="1"/>
    <col min="1547" max="1547" width="11.7109375" style="357" customWidth="1"/>
    <col min="1548" max="1548" width="10.7109375" style="357"/>
    <col min="1549" max="1549" width="10.5703125" style="357" customWidth="1"/>
    <col min="1550" max="1792" width="10.7109375" style="357"/>
    <col min="1793" max="1793" width="12.7109375" style="357" customWidth="1"/>
    <col min="1794" max="1794" width="13.42578125" style="357" customWidth="1"/>
    <col min="1795" max="1799" width="11.7109375" style="357" customWidth="1"/>
    <col min="1800" max="1800" width="13.7109375" style="357" customWidth="1"/>
    <col min="1801" max="1801" width="11.7109375" style="357" customWidth="1"/>
    <col min="1802" max="1802" width="15.7109375" style="357" customWidth="1"/>
    <col min="1803" max="1803" width="11.7109375" style="357" customWidth="1"/>
    <col min="1804" max="1804" width="10.7109375" style="357"/>
    <col min="1805" max="1805" width="10.5703125" style="357" customWidth="1"/>
    <col min="1806" max="2048" width="10.7109375" style="357"/>
    <col min="2049" max="2049" width="12.7109375" style="357" customWidth="1"/>
    <col min="2050" max="2050" width="13.42578125" style="357" customWidth="1"/>
    <col min="2051" max="2055" width="11.7109375" style="357" customWidth="1"/>
    <col min="2056" max="2056" width="13.7109375" style="357" customWidth="1"/>
    <col min="2057" max="2057" width="11.7109375" style="357" customWidth="1"/>
    <col min="2058" max="2058" width="15.7109375" style="357" customWidth="1"/>
    <col min="2059" max="2059" width="11.7109375" style="357" customWidth="1"/>
    <col min="2060" max="2060" width="10.7109375" style="357"/>
    <col min="2061" max="2061" width="10.5703125" style="357" customWidth="1"/>
    <col min="2062" max="2304" width="10.7109375" style="357"/>
    <col min="2305" max="2305" width="12.7109375" style="357" customWidth="1"/>
    <col min="2306" max="2306" width="13.42578125" style="357" customWidth="1"/>
    <col min="2307" max="2311" width="11.7109375" style="357" customWidth="1"/>
    <col min="2312" max="2312" width="13.7109375" style="357" customWidth="1"/>
    <col min="2313" max="2313" width="11.7109375" style="357" customWidth="1"/>
    <col min="2314" max="2314" width="15.7109375" style="357" customWidth="1"/>
    <col min="2315" max="2315" width="11.7109375" style="357" customWidth="1"/>
    <col min="2316" max="2316" width="10.7109375" style="357"/>
    <col min="2317" max="2317" width="10.5703125" style="357" customWidth="1"/>
    <col min="2318" max="2560" width="10.7109375" style="357"/>
    <col min="2561" max="2561" width="12.7109375" style="357" customWidth="1"/>
    <col min="2562" max="2562" width="13.42578125" style="357" customWidth="1"/>
    <col min="2563" max="2567" width="11.7109375" style="357" customWidth="1"/>
    <col min="2568" max="2568" width="13.7109375" style="357" customWidth="1"/>
    <col min="2569" max="2569" width="11.7109375" style="357" customWidth="1"/>
    <col min="2570" max="2570" width="15.7109375" style="357" customWidth="1"/>
    <col min="2571" max="2571" width="11.7109375" style="357" customWidth="1"/>
    <col min="2572" max="2572" width="10.7109375" style="357"/>
    <col min="2573" max="2573" width="10.5703125" style="357" customWidth="1"/>
    <col min="2574" max="2816" width="10.7109375" style="357"/>
    <col min="2817" max="2817" width="12.7109375" style="357" customWidth="1"/>
    <col min="2818" max="2818" width="13.42578125" style="357" customWidth="1"/>
    <col min="2819" max="2823" width="11.7109375" style="357" customWidth="1"/>
    <col min="2824" max="2824" width="13.7109375" style="357" customWidth="1"/>
    <col min="2825" max="2825" width="11.7109375" style="357" customWidth="1"/>
    <col min="2826" max="2826" width="15.7109375" style="357" customWidth="1"/>
    <col min="2827" max="2827" width="11.7109375" style="357" customWidth="1"/>
    <col min="2828" max="2828" width="10.7109375" style="357"/>
    <col min="2829" max="2829" width="10.5703125" style="357" customWidth="1"/>
    <col min="2830" max="3072" width="10.7109375" style="357"/>
    <col min="3073" max="3073" width="12.7109375" style="357" customWidth="1"/>
    <col min="3074" max="3074" width="13.42578125" style="357" customWidth="1"/>
    <col min="3075" max="3079" width="11.7109375" style="357" customWidth="1"/>
    <col min="3080" max="3080" width="13.7109375" style="357" customWidth="1"/>
    <col min="3081" max="3081" width="11.7109375" style="357" customWidth="1"/>
    <col min="3082" max="3082" width="15.7109375" style="357" customWidth="1"/>
    <col min="3083" max="3083" width="11.7109375" style="357" customWidth="1"/>
    <col min="3084" max="3084" width="10.7109375" style="357"/>
    <col min="3085" max="3085" width="10.5703125" style="357" customWidth="1"/>
    <col min="3086" max="3328" width="10.7109375" style="357"/>
    <col min="3329" max="3329" width="12.7109375" style="357" customWidth="1"/>
    <col min="3330" max="3330" width="13.42578125" style="357" customWidth="1"/>
    <col min="3331" max="3335" width="11.7109375" style="357" customWidth="1"/>
    <col min="3336" max="3336" width="13.7109375" style="357" customWidth="1"/>
    <col min="3337" max="3337" width="11.7109375" style="357" customWidth="1"/>
    <col min="3338" max="3338" width="15.7109375" style="357" customWidth="1"/>
    <col min="3339" max="3339" width="11.7109375" style="357" customWidth="1"/>
    <col min="3340" max="3340" width="10.7109375" style="357"/>
    <col min="3341" max="3341" width="10.5703125" style="357" customWidth="1"/>
    <col min="3342" max="3584" width="10.7109375" style="357"/>
    <col min="3585" max="3585" width="12.7109375" style="357" customWidth="1"/>
    <col min="3586" max="3586" width="13.42578125" style="357" customWidth="1"/>
    <col min="3587" max="3591" width="11.7109375" style="357" customWidth="1"/>
    <col min="3592" max="3592" width="13.7109375" style="357" customWidth="1"/>
    <col min="3593" max="3593" width="11.7109375" style="357" customWidth="1"/>
    <col min="3594" max="3594" width="15.7109375" style="357" customWidth="1"/>
    <col min="3595" max="3595" width="11.7109375" style="357" customWidth="1"/>
    <col min="3596" max="3596" width="10.7109375" style="357"/>
    <col min="3597" max="3597" width="10.5703125" style="357" customWidth="1"/>
    <col min="3598" max="3840" width="10.7109375" style="357"/>
    <col min="3841" max="3841" width="12.7109375" style="357" customWidth="1"/>
    <col min="3842" max="3842" width="13.42578125" style="357" customWidth="1"/>
    <col min="3843" max="3847" width="11.7109375" style="357" customWidth="1"/>
    <col min="3848" max="3848" width="13.7109375" style="357" customWidth="1"/>
    <col min="3849" max="3849" width="11.7109375" style="357" customWidth="1"/>
    <col min="3850" max="3850" width="15.7109375" style="357" customWidth="1"/>
    <col min="3851" max="3851" width="11.7109375" style="357" customWidth="1"/>
    <col min="3852" max="3852" width="10.7109375" style="357"/>
    <col min="3853" max="3853" width="10.5703125" style="357" customWidth="1"/>
    <col min="3854" max="4096" width="10.7109375" style="357"/>
    <col min="4097" max="4097" width="12.7109375" style="357" customWidth="1"/>
    <col min="4098" max="4098" width="13.42578125" style="357" customWidth="1"/>
    <col min="4099" max="4103" width="11.7109375" style="357" customWidth="1"/>
    <col min="4104" max="4104" width="13.7109375" style="357" customWidth="1"/>
    <col min="4105" max="4105" width="11.7109375" style="357" customWidth="1"/>
    <col min="4106" max="4106" width="15.7109375" style="357" customWidth="1"/>
    <col min="4107" max="4107" width="11.7109375" style="357" customWidth="1"/>
    <col min="4108" max="4108" width="10.7109375" style="357"/>
    <col min="4109" max="4109" width="10.5703125" style="357" customWidth="1"/>
    <col min="4110" max="4352" width="10.7109375" style="357"/>
    <col min="4353" max="4353" width="12.7109375" style="357" customWidth="1"/>
    <col min="4354" max="4354" width="13.42578125" style="357" customWidth="1"/>
    <col min="4355" max="4359" width="11.7109375" style="357" customWidth="1"/>
    <col min="4360" max="4360" width="13.7109375" style="357" customWidth="1"/>
    <col min="4361" max="4361" width="11.7109375" style="357" customWidth="1"/>
    <col min="4362" max="4362" width="15.7109375" style="357" customWidth="1"/>
    <col min="4363" max="4363" width="11.7109375" style="357" customWidth="1"/>
    <col min="4364" max="4364" width="10.7109375" style="357"/>
    <col min="4365" max="4365" width="10.5703125" style="357" customWidth="1"/>
    <col min="4366" max="4608" width="10.7109375" style="357"/>
    <col min="4609" max="4609" width="12.7109375" style="357" customWidth="1"/>
    <col min="4610" max="4610" width="13.42578125" style="357" customWidth="1"/>
    <col min="4611" max="4615" width="11.7109375" style="357" customWidth="1"/>
    <col min="4616" max="4616" width="13.7109375" style="357" customWidth="1"/>
    <col min="4617" max="4617" width="11.7109375" style="357" customWidth="1"/>
    <col min="4618" max="4618" width="15.7109375" style="357" customWidth="1"/>
    <col min="4619" max="4619" width="11.7109375" style="357" customWidth="1"/>
    <col min="4620" max="4620" width="10.7109375" style="357"/>
    <col min="4621" max="4621" width="10.5703125" style="357" customWidth="1"/>
    <col min="4622" max="4864" width="10.7109375" style="357"/>
    <col min="4865" max="4865" width="12.7109375" style="357" customWidth="1"/>
    <col min="4866" max="4866" width="13.42578125" style="357" customWidth="1"/>
    <col min="4867" max="4871" width="11.7109375" style="357" customWidth="1"/>
    <col min="4872" max="4872" width="13.7109375" style="357" customWidth="1"/>
    <col min="4873" max="4873" width="11.7109375" style="357" customWidth="1"/>
    <col min="4874" max="4874" width="15.7109375" style="357" customWidth="1"/>
    <col min="4875" max="4875" width="11.7109375" style="357" customWidth="1"/>
    <col min="4876" max="4876" width="10.7109375" style="357"/>
    <col min="4877" max="4877" width="10.5703125" style="357" customWidth="1"/>
    <col min="4878" max="5120" width="10.7109375" style="357"/>
    <col min="5121" max="5121" width="12.7109375" style="357" customWidth="1"/>
    <col min="5122" max="5122" width="13.42578125" style="357" customWidth="1"/>
    <col min="5123" max="5127" width="11.7109375" style="357" customWidth="1"/>
    <col min="5128" max="5128" width="13.7109375" style="357" customWidth="1"/>
    <col min="5129" max="5129" width="11.7109375" style="357" customWidth="1"/>
    <col min="5130" max="5130" width="15.7109375" style="357" customWidth="1"/>
    <col min="5131" max="5131" width="11.7109375" style="357" customWidth="1"/>
    <col min="5132" max="5132" width="10.7109375" style="357"/>
    <col min="5133" max="5133" width="10.5703125" style="357" customWidth="1"/>
    <col min="5134" max="5376" width="10.7109375" style="357"/>
    <col min="5377" max="5377" width="12.7109375" style="357" customWidth="1"/>
    <col min="5378" max="5378" width="13.42578125" style="357" customWidth="1"/>
    <col min="5379" max="5383" width="11.7109375" style="357" customWidth="1"/>
    <col min="5384" max="5384" width="13.7109375" style="357" customWidth="1"/>
    <col min="5385" max="5385" width="11.7109375" style="357" customWidth="1"/>
    <col min="5386" max="5386" width="15.7109375" style="357" customWidth="1"/>
    <col min="5387" max="5387" width="11.7109375" style="357" customWidth="1"/>
    <col min="5388" max="5388" width="10.7109375" style="357"/>
    <col min="5389" max="5389" width="10.5703125" style="357" customWidth="1"/>
    <col min="5390" max="5632" width="10.7109375" style="357"/>
    <col min="5633" max="5633" width="12.7109375" style="357" customWidth="1"/>
    <col min="5634" max="5634" width="13.42578125" style="357" customWidth="1"/>
    <col min="5635" max="5639" width="11.7109375" style="357" customWidth="1"/>
    <col min="5640" max="5640" width="13.7109375" style="357" customWidth="1"/>
    <col min="5641" max="5641" width="11.7109375" style="357" customWidth="1"/>
    <col min="5642" max="5642" width="15.7109375" style="357" customWidth="1"/>
    <col min="5643" max="5643" width="11.7109375" style="357" customWidth="1"/>
    <col min="5644" max="5644" width="10.7109375" style="357"/>
    <col min="5645" max="5645" width="10.5703125" style="357" customWidth="1"/>
    <col min="5646" max="5888" width="10.7109375" style="357"/>
    <col min="5889" max="5889" width="12.7109375" style="357" customWidth="1"/>
    <col min="5890" max="5890" width="13.42578125" style="357" customWidth="1"/>
    <col min="5891" max="5895" width="11.7109375" style="357" customWidth="1"/>
    <col min="5896" max="5896" width="13.7109375" style="357" customWidth="1"/>
    <col min="5897" max="5897" width="11.7109375" style="357" customWidth="1"/>
    <col min="5898" max="5898" width="15.7109375" style="357" customWidth="1"/>
    <col min="5899" max="5899" width="11.7109375" style="357" customWidth="1"/>
    <col min="5900" max="5900" width="10.7109375" style="357"/>
    <col min="5901" max="5901" width="10.5703125" style="357" customWidth="1"/>
    <col min="5902" max="6144" width="10.7109375" style="357"/>
    <col min="6145" max="6145" width="12.7109375" style="357" customWidth="1"/>
    <col min="6146" max="6146" width="13.42578125" style="357" customWidth="1"/>
    <col min="6147" max="6151" width="11.7109375" style="357" customWidth="1"/>
    <col min="6152" max="6152" width="13.7109375" style="357" customWidth="1"/>
    <col min="6153" max="6153" width="11.7109375" style="357" customWidth="1"/>
    <col min="6154" max="6154" width="15.7109375" style="357" customWidth="1"/>
    <col min="6155" max="6155" width="11.7109375" style="357" customWidth="1"/>
    <col min="6156" max="6156" width="10.7109375" style="357"/>
    <col min="6157" max="6157" width="10.5703125" style="357" customWidth="1"/>
    <col min="6158" max="6400" width="10.7109375" style="357"/>
    <col min="6401" max="6401" width="12.7109375" style="357" customWidth="1"/>
    <col min="6402" max="6402" width="13.42578125" style="357" customWidth="1"/>
    <col min="6403" max="6407" width="11.7109375" style="357" customWidth="1"/>
    <col min="6408" max="6408" width="13.7109375" style="357" customWidth="1"/>
    <col min="6409" max="6409" width="11.7109375" style="357" customWidth="1"/>
    <col min="6410" max="6410" width="15.7109375" style="357" customWidth="1"/>
    <col min="6411" max="6411" width="11.7109375" style="357" customWidth="1"/>
    <col min="6412" max="6412" width="10.7109375" style="357"/>
    <col min="6413" max="6413" width="10.5703125" style="357" customWidth="1"/>
    <col min="6414" max="6656" width="10.7109375" style="357"/>
    <col min="6657" max="6657" width="12.7109375" style="357" customWidth="1"/>
    <col min="6658" max="6658" width="13.42578125" style="357" customWidth="1"/>
    <col min="6659" max="6663" width="11.7109375" style="357" customWidth="1"/>
    <col min="6664" max="6664" width="13.7109375" style="357" customWidth="1"/>
    <col min="6665" max="6665" width="11.7109375" style="357" customWidth="1"/>
    <col min="6666" max="6666" width="15.7109375" style="357" customWidth="1"/>
    <col min="6667" max="6667" width="11.7109375" style="357" customWidth="1"/>
    <col min="6668" max="6668" width="10.7109375" style="357"/>
    <col min="6669" max="6669" width="10.5703125" style="357" customWidth="1"/>
    <col min="6670" max="6912" width="10.7109375" style="357"/>
    <col min="6913" max="6913" width="12.7109375" style="357" customWidth="1"/>
    <col min="6914" max="6914" width="13.42578125" style="357" customWidth="1"/>
    <col min="6915" max="6919" width="11.7109375" style="357" customWidth="1"/>
    <col min="6920" max="6920" width="13.7109375" style="357" customWidth="1"/>
    <col min="6921" max="6921" width="11.7109375" style="357" customWidth="1"/>
    <col min="6922" max="6922" width="15.7109375" style="357" customWidth="1"/>
    <col min="6923" max="6923" width="11.7109375" style="357" customWidth="1"/>
    <col min="6924" max="6924" width="10.7109375" style="357"/>
    <col min="6925" max="6925" width="10.5703125" style="357" customWidth="1"/>
    <col min="6926" max="7168" width="10.7109375" style="357"/>
    <col min="7169" max="7169" width="12.7109375" style="357" customWidth="1"/>
    <col min="7170" max="7170" width="13.42578125" style="357" customWidth="1"/>
    <col min="7171" max="7175" width="11.7109375" style="357" customWidth="1"/>
    <col min="7176" max="7176" width="13.7109375" style="357" customWidth="1"/>
    <col min="7177" max="7177" width="11.7109375" style="357" customWidth="1"/>
    <col min="7178" max="7178" width="15.7109375" style="357" customWidth="1"/>
    <col min="7179" max="7179" width="11.7109375" style="357" customWidth="1"/>
    <col min="7180" max="7180" width="10.7109375" style="357"/>
    <col min="7181" max="7181" width="10.5703125" style="357" customWidth="1"/>
    <col min="7182" max="7424" width="10.7109375" style="357"/>
    <col min="7425" max="7425" width="12.7109375" style="357" customWidth="1"/>
    <col min="7426" max="7426" width="13.42578125" style="357" customWidth="1"/>
    <col min="7427" max="7431" width="11.7109375" style="357" customWidth="1"/>
    <col min="7432" max="7432" width="13.7109375" style="357" customWidth="1"/>
    <col min="7433" max="7433" width="11.7109375" style="357" customWidth="1"/>
    <col min="7434" max="7434" width="15.7109375" style="357" customWidth="1"/>
    <col min="7435" max="7435" width="11.7109375" style="357" customWidth="1"/>
    <col min="7436" max="7436" width="10.7109375" style="357"/>
    <col min="7437" max="7437" width="10.5703125" style="357" customWidth="1"/>
    <col min="7438" max="7680" width="10.7109375" style="357"/>
    <col min="7681" max="7681" width="12.7109375" style="357" customWidth="1"/>
    <col min="7682" max="7682" width="13.42578125" style="357" customWidth="1"/>
    <col min="7683" max="7687" width="11.7109375" style="357" customWidth="1"/>
    <col min="7688" max="7688" width="13.7109375" style="357" customWidth="1"/>
    <col min="7689" max="7689" width="11.7109375" style="357" customWidth="1"/>
    <col min="7690" max="7690" width="15.7109375" style="357" customWidth="1"/>
    <col min="7691" max="7691" width="11.7109375" style="357" customWidth="1"/>
    <col min="7692" max="7692" width="10.7109375" style="357"/>
    <col min="7693" max="7693" width="10.5703125" style="357" customWidth="1"/>
    <col min="7694" max="7936" width="10.7109375" style="357"/>
    <col min="7937" max="7937" width="12.7109375" style="357" customWidth="1"/>
    <col min="7938" max="7938" width="13.42578125" style="357" customWidth="1"/>
    <col min="7939" max="7943" width="11.7109375" style="357" customWidth="1"/>
    <col min="7944" max="7944" width="13.7109375" style="357" customWidth="1"/>
    <col min="7945" max="7945" width="11.7109375" style="357" customWidth="1"/>
    <col min="7946" max="7946" width="15.7109375" style="357" customWidth="1"/>
    <col min="7947" max="7947" width="11.7109375" style="357" customWidth="1"/>
    <col min="7948" max="7948" width="10.7109375" style="357"/>
    <col min="7949" max="7949" width="10.5703125" style="357" customWidth="1"/>
    <col min="7950" max="8192" width="10.7109375" style="357"/>
    <col min="8193" max="8193" width="12.7109375" style="357" customWidth="1"/>
    <col min="8194" max="8194" width="13.42578125" style="357" customWidth="1"/>
    <col min="8195" max="8199" width="11.7109375" style="357" customWidth="1"/>
    <col min="8200" max="8200" width="13.7109375" style="357" customWidth="1"/>
    <col min="8201" max="8201" width="11.7109375" style="357" customWidth="1"/>
    <col min="8202" max="8202" width="15.7109375" style="357" customWidth="1"/>
    <col min="8203" max="8203" width="11.7109375" style="357" customWidth="1"/>
    <col min="8204" max="8204" width="10.7109375" style="357"/>
    <col min="8205" max="8205" width="10.5703125" style="357" customWidth="1"/>
    <col min="8206" max="8448" width="10.7109375" style="357"/>
    <col min="8449" max="8449" width="12.7109375" style="357" customWidth="1"/>
    <col min="8450" max="8450" width="13.42578125" style="357" customWidth="1"/>
    <col min="8451" max="8455" width="11.7109375" style="357" customWidth="1"/>
    <col min="8456" max="8456" width="13.7109375" style="357" customWidth="1"/>
    <col min="8457" max="8457" width="11.7109375" style="357" customWidth="1"/>
    <col min="8458" max="8458" width="15.7109375" style="357" customWidth="1"/>
    <col min="8459" max="8459" width="11.7109375" style="357" customWidth="1"/>
    <col min="8460" max="8460" width="10.7109375" style="357"/>
    <col min="8461" max="8461" width="10.5703125" style="357" customWidth="1"/>
    <col min="8462" max="8704" width="10.7109375" style="357"/>
    <col min="8705" max="8705" width="12.7109375" style="357" customWidth="1"/>
    <col min="8706" max="8706" width="13.42578125" style="357" customWidth="1"/>
    <col min="8707" max="8711" width="11.7109375" style="357" customWidth="1"/>
    <col min="8712" max="8712" width="13.7109375" style="357" customWidth="1"/>
    <col min="8713" max="8713" width="11.7109375" style="357" customWidth="1"/>
    <col min="8714" max="8714" width="15.7109375" style="357" customWidth="1"/>
    <col min="8715" max="8715" width="11.7109375" style="357" customWidth="1"/>
    <col min="8716" max="8716" width="10.7109375" style="357"/>
    <col min="8717" max="8717" width="10.5703125" style="357" customWidth="1"/>
    <col min="8718" max="8960" width="10.7109375" style="357"/>
    <col min="8961" max="8961" width="12.7109375" style="357" customWidth="1"/>
    <col min="8962" max="8962" width="13.42578125" style="357" customWidth="1"/>
    <col min="8963" max="8967" width="11.7109375" style="357" customWidth="1"/>
    <col min="8968" max="8968" width="13.7109375" style="357" customWidth="1"/>
    <col min="8969" max="8969" width="11.7109375" style="357" customWidth="1"/>
    <col min="8970" max="8970" width="15.7109375" style="357" customWidth="1"/>
    <col min="8971" max="8971" width="11.7109375" style="357" customWidth="1"/>
    <col min="8972" max="8972" width="10.7109375" style="357"/>
    <col min="8973" max="8973" width="10.5703125" style="357" customWidth="1"/>
    <col min="8974" max="9216" width="10.7109375" style="357"/>
    <col min="9217" max="9217" width="12.7109375" style="357" customWidth="1"/>
    <col min="9218" max="9218" width="13.42578125" style="357" customWidth="1"/>
    <col min="9219" max="9223" width="11.7109375" style="357" customWidth="1"/>
    <col min="9224" max="9224" width="13.7109375" style="357" customWidth="1"/>
    <col min="9225" max="9225" width="11.7109375" style="357" customWidth="1"/>
    <col min="9226" max="9226" width="15.7109375" style="357" customWidth="1"/>
    <col min="9227" max="9227" width="11.7109375" style="357" customWidth="1"/>
    <col min="9228" max="9228" width="10.7109375" style="357"/>
    <col min="9229" max="9229" width="10.5703125" style="357" customWidth="1"/>
    <col min="9230" max="9472" width="10.7109375" style="357"/>
    <col min="9473" max="9473" width="12.7109375" style="357" customWidth="1"/>
    <col min="9474" max="9474" width="13.42578125" style="357" customWidth="1"/>
    <col min="9475" max="9479" width="11.7109375" style="357" customWidth="1"/>
    <col min="9480" max="9480" width="13.7109375" style="357" customWidth="1"/>
    <col min="9481" max="9481" width="11.7109375" style="357" customWidth="1"/>
    <col min="9482" max="9482" width="15.7109375" style="357" customWidth="1"/>
    <col min="9483" max="9483" width="11.7109375" style="357" customWidth="1"/>
    <col min="9484" max="9484" width="10.7109375" style="357"/>
    <col min="9485" max="9485" width="10.5703125" style="357" customWidth="1"/>
    <col min="9486" max="9728" width="10.7109375" style="357"/>
    <col min="9729" max="9729" width="12.7109375" style="357" customWidth="1"/>
    <col min="9730" max="9730" width="13.42578125" style="357" customWidth="1"/>
    <col min="9731" max="9735" width="11.7109375" style="357" customWidth="1"/>
    <col min="9736" max="9736" width="13.7109375" style="357" customWidth="1"/>
    <col min="9737" max="9737" width="11.7109375" style="357" customWidth="1"/>
    <col min="9738" max="9738" width="15.7109375" style="357" customWidth="1"/>
    <col min="9739" max="9739" width="11.7109375" style="357" customWidth="1"/>
    <col min="9740" max="9740" width="10.7109375" style="357"/>
    <col min="9741" max="9741" width="10.5703125" style="357" customWidth="1"/>
    <col min="9742" max="9984" width="10.7109375" style="357"/>
    <col min="9985" max="9985" width="12.7109375" style="357" customWidth="1"/>
    <col min="9986" max="9986" width="13.42578125" style="357" customWidth="1"/>
    <col min="9987" max="9991" width="11.7109375" style="357" customWidth="1"/>
    <col min="9992" max="9992" width="13.7109375" style="357" customWidth="1"/>
    <col min="9993" max="9993" width="11.7109375" style="357" customWidth="1"/>
    <col min="9994" max="9994" width="15.7109375" style="357" customWidth="1"/>
    <col min="9995" max="9995" width="11.7109375" style="357" customWidth="1"/>
    <col min="9996" max="9996" width="10.7109375" style="357"/>
    <col min="9997" max="9997" width="10.5703125" style="357" customWidth="1"/>
    <col min="9998" max="10240" width="10.7109375" style="357"/>
    <col min="10241" max="10241" width="12.7109375" style="357" customWidth="1"/>
    <col min="10242" max="10242" width="13.42578125" style="357" customWidth="1"/>
    <col min="10243" max="10247" width="11.7109375" style="357" customWidth="1"/>
    <col min="10248" max="10248" width="13.7109375" style="357" customWidth="1"/>
    <col min="10249" max="10249" width="11.7109375" style="357" customWidth="1"/>
    <col min="10250" max="10250" width="15.7109375" style="357" customWidth="1"/>
    <col min="10251" max="10251" width="11.7109375" style="357" customWidth="1"/>
    <col min="10252" max="10252" width="10.7109375" style="357"/>
    <col min="10253" max="10253" width="10.5703125" style="357" customWidth="1"/>
    <col min="10254" max="10496" width="10.7109375" style="357"/>
    <col min="10497" max="10497" width="12.7109375" style="357" customWidth="1"/>
    <col min="10498" max="10498" width="13.42578125" style="357" customWidth="1"/>
    <col min="10499" max="10503" width="11.7109375" style="357" customWidth="1"/>
    <col min="10504" max="10504" width="13.7109375" style="357" customWidth="1"/>
    <col min="10505" max="10505" width="11.7109375" style="357" customWidth="1"/>
    <col min="10506" max="10506" width="15.7109375" style="357" customWidth="1"/>
    <col min="10507" max="10507" width="11.7109375" style="357" customWidth="1"/>
    <col min="10508" max="10508" width="10.7109375" style="357"/>
    <col min="10509" max="10509" width="10.5703125" style="357" customWidth="1"/>
    <col min="10510" max="10752" width="10.7109375" style="357"/>
    <col min="10753" max="10753" width="12.7109375" style="357" customWidth="1"/>
    <col min="10754" max="10754" width="13.42578125" style="357" customWidth="1"/>
    <col min="10755" max="10759" width="11.7109375" style="357" customWidth="1"/>
    <col min="10760" max="10760" width="13.7109375" style="357" customWidth="1"/>
    <col min="10761" max="10761" width="11.7109375" style="357" customWidth="1"/>
    <col min="10762" max="10762" width="15.7109375" style="357" customWidth="1"/>
    <col min="10763" max="10763" width="11.7109375" style="357" customWidth="1"/>
    <col min="10764" max="10764" width="10.7109375" style="357"/>
    <col min="10765" max="10765" width="10.5703125" style="357" customWidth="1"/>
    <col min="10766" max="11008" width="10.7109375" style="357"/>
    <col min="11009" max="11009" width="12.7109375" style="357" customWidth="1"/>
    <col min="11010" max="11010" width="13.42578125" style="357" customWidth="1"/>
    <col min="11011" max="11015" width="11.7109375" style="357" customWidth="1"/>
    <col min="11016" max="11016" width="13.7109375" style="357" customWidth="1"/>
    <col min="11017" max="11017" width="11.7109375" style="357" customWidth="1"/>
    <col min="11018" max="11018" width="15.7109375" style="357" customWidth="1"/>
    <col min="11019" max="11019" width="11.7109375" style="357" customWidth="1"/>
    <col min="11020" max="11020" width="10.7109375" style="357"/>
    <col min="11021" max="11021" width="10.5703125" style="357" customWidth="1"/>
    <col min="11022" max="11264" width="10.7109375" style="357"/>
    <col min="11265" max="11265" width="12.7109375" style="357" customWidth="1"/>
    <col min="11266" max="11266" width="13.42578125" style="357" customWidth="1"/>
    <col min="11267" max="11271" width="11.7109375" style="357" customWidth="1"/>
    <col min="11272" max="11272" width="13.7109375" style="357" customWidth="1"/>
    <col min="11273" max="11273" width="11.7109375" style="357" customWidth="1"/>
    <col min="11274" max="11274" width="15.7109375" style="357" customWidth="1"/>
    <col min="11275" max="11275" width="11.7109375" style="357" customWidth="1"/>
    <col min="11276" max="11276" width="10.7109375" style="357"/>
    <col min="11277" max="11277" width="10.5703125" style="357" customWidth="1"/>
    <col min="11278" max="11520" width="10.7109375" style="357"/>
    <col min="11521" max="11521" width="12.7109375" style="357" customWidth="1"/>
    <col min="11522" max="11522" width="13.42578125" style="357" customWidth="1"/>
    <col min="11523" max="11527" width="11.7109375" style="357" customWidth="1"/>
    <col min="11528" max="11528" width="13.7109375" style="357" customWidth="1"/>
    <col min="11529" max="11529" width="11.7109375" style="357" customWidth="1"/>
    <col min="11530" max="11530" width="15.7109375" style="357" customWidth="1"/>
    <col min="11531" max="11531" width="11.7109375" style="357" customWidth="1"/>
    <col min="11532" max="11532" width="10.7109375" style="357"/>
    <col min="11533" max="11533" width="10.5703125" style="357" customWidth="1"/>
    <col min="11534" max="11776" width="10.7109375" style="357"/>
    <col min="11777" max="11777" width="12.7109375" style="357" customWidth="1"/>
    <col min="11778" max="11778" width="13.42578125" style="357" customWidth="1"/>
    <col min="11779" max="11783" width="11.7109375" style="357" customWidth="1"/>
    <col min="11784" max="11784" width="13.7109375" style="357" customWidth="1"/>
    <col min="11785" max="11785" width="11.7109375" style="357" customWidth="1"/>
    <col min="11786" max="11786" width="15.7109375" style="357" customWidth="1"/>
    <col min="11787" max="11787" width="11.7109375" style="357" customWidth="1"/>
    <col min="11788" max="11788" width="10.7109375" style="357"/>
    <col min="11789" max="11789" width="10.5703125" style="357" customWidth="1"/>
    <col min="11790" max="12032" width="10.7109375" style="357"/>
    <col min="12033" max="12033" width="12.7109375" style="357" customWidth="1"/>
    <col min="12034" max="12034" width="13.42578125" style="357" customWidth="1"/>
    <col min="12035" max="12039" width="11.7109375" style="357" customWidth="1"/>
    <col min="12040" max="12040" width="13.7109375" style="357" customWidth="1"/>
    <col min="12041" max="12041" width="11.7109375" style="357" customWidth="1"/>
    <col min="12042" max="12042" width="15.7109375" style="357" customWidth="1"/>
    <col min="12043" max="12043" width="11.7109375" style="357" customWidth="1"/>
    <col min="12044" max="12044" width="10.7109375" style="357"/>
    <col min="12045" max="12045" width="10.5703125" style="357" customWidth="1"/>
    <col min="12046" max="12288" width="10.7109375" style="357"/>
    <col min="12289" max="12289" width="12.7109375" style="357" customWidth="1"/>
    <col min="12290" max="12290" width="13.42578125" style="357" customWidth="1"/>
    <col min="12291" max="12295" width="11.7109375" style="357" customWidth="1"/>
    <col min="12296" max="12296" width="13.7109375" style="357" customWidth="1"/>
    <col min="12297" max="12297" width="11.7109375" style="357" customWidth="1"/>
    <col min="12298" max="12298" width="15.7109375" style="357" customWidth="1"/>
    <col min="12299" max="12299" width="11.7109375" style="357" customWidth="1"/>
    <col min="12300" max="12300" width="10.7109375" style="357"/>
    <col min="12301" max="12301" width="10.5703125" style="357" customWidth="1"/>
    <col min="12302" max="12544" width="10.7109375" style="357"/>
    <col min="12545" max="12545" width="12.7109375" style="357" customWidth="1"/>
    <col min="12546" max="12546" width="13.42578125" style="357" customWidth="1"/>
    <col min="12547" max="12551" width="11.7109375" style="357" customWidth="1"/>
    <col min="12552" max="12552" width="13.7109375" style="357" customWidth="1"/>
    <col min="12553" max="12553" width="11.7109375" style="357" customWidth="1"/>
    <col min="12554" max="12554" width="15.7109375" style="357" customWidth="1"/>
    <col min="12555" max="12555" width="11.7109375" style="357" customWidth="1"/>
    <col min="12556" max="12556" width="10.7109375" style="357"/>
    <col min="12557" max="12557" width="10.5703125" style="357" customWidth="1"/>
    <col min="12558" max="12800" width="10.7109375" style="357"/>
    <col min="12801" max="12801" width="12.7109375" style="357" customWidth="1"/>
    <col min="12802" max="12802" width="13.42578125" style="357" customWidth="1"/>
    <col min="12803" max="12807" width="11.7109375" style="357" customWidth="1"/>
    <col min="12808" max="12808" width="13.7109375" style="357" customWidth="1"/>
    <col min="12809" max="12809" width="11.7109375" style="357" customWidth="1"/>
    <col min="12810" max="12810" width="15.7109375" style="357" customWidth="1"/>
    <col min="12811" max="12811" width="11.7109375" style="357" customWidth="1"/>
    <col min="12812" max="12812" width="10.7109375" style="357"/>
    <col min="12813" max="12813" width="10.5703125" style="357" customWidth="1"/>
    <col min="12814" max="13056" width="10.7109375" style="357"/>
    <col min="13057" max="13057" width="12.7109375" style="357" customWidth="1"/>
    <col min="13058" max="13058" width="13.42578125" style="357" customWidth="1"/>
    <col min="13059" max="13063" width="11.7109375" style="357" customWidth="1"/>
    <col min="13064" max="13064" width="13.7109375" style="357" customWidth="1"/>
    <col min="13065" max="13065" width="11.7109375" style="357" customWidth="1"/>
    <col min="13066" max="13066" width="15.7109375" style="357" customWidth="1"/>
    <col min="13067" max="13067" width="11.7109375" style="357" customWidth="1"/>
    <col min="13068" max="13068" width="10.7109375" style="357"/>
    <col min="13069" max="13069" width="10.5703125" style="357" customWidth="1"/>
    <col min="13070" max="13312" width="10.7109375" style="357"/>
    <col min="13313" max="13313" width="12.7109375" style="357" customWidth="1"/>
    <col min="13314" max="13314" width="13.42578125" style="357" customWidth="1"/>
    <col min="13315" max="13319" width="11.7109375" style="357" customWidth="1"/>
    <col min="13320" max="13320" width="13.7109375" style="357" customWidth="1"/>
    <col min="13321" max="13321" width="11.7109375" style="357" customWidth="1"/>
    <col min="13322" max="13322" width="15.7109375" style="357" customWidth="1"/>
    <col min="13323" max="13323" width="11.7109375" style="357" customWidth="1"/>
    <col min="13324" max="13324" width="10.7109375" style="357"/>
    <col min="13325" max="13325" width="10.5703125" style="357" customWidth="1"/>
    <col min="13326" max="13568" width="10.7109375" style="357"/>
    <col min="13569" max="13569" width="12.7109375" style="357" customWidth="1"/>
    <col min="13570" max="13570" width="13.42578125" style="357" customWidth="1"/>
    <col min="13571" max="13575" width="11.7109375" style="357" customWidth="1"/>
    <col min="13576" max="13576" width="13.7109375" style="357" customWidth="1"/>
    <col min="13577" max="13577" width="11.7109375" style="357" customWidth="1"/>
    <col min="13578" max="13578" width="15.7109375" style="357" customWidth="1"/>
    <col min="13579" max="13579" width="11.7109375" style="357" customWidth="1"/>
    <col min="13580" max="13580" width="10.7109375" style="357"/>
    <col min="13581" max="13581" width="10.5703125" style="357" customWidth="1"/>
    <col min="13582" max="13824" width="10.7109375" style="357"/>
    <col min="13825" max="13825" width="12.7109375" style="357" customWidth="1"/>
    <col min="13826" max="13826" width="13.42578125" style="357" customWidth="1"/>
    <col min="13827" max="13831" width="11.7109375" style="357" customWidth="1"/>
    <col min="13832" max="13832" width="13.7109375" style="357" customWidth="1"/>
    <col min="13833" max="13833" width="11.7109375" style="357" customWidth="1"/>
    <col min="13834" max="13834" width="15.7109375" style="357" customWidth="1"/>
    <col min="13835" max="13835" width="11.7109375" style="357" customWidth="1"/>
    <col min="13836" max="13836" width="10.7109375" style="357"/>
    <col min="13837" max="13837" width="10.5703125" style="357" customWidth="1"/>
    <col min="13838" max="14080" width="10.7109375" style="357"/>
    <col min="14081" max="14081" width="12.7109375" style="357" customWidth="1"/>
    <col min="14082" max="14082" width="13.42578125" style="357" customWidth="1"/>
    <col min="14083" max="14087" width="11.7109375" style="357" customWidth="1"/>
    <col min="14088" max="14088" width="13.7109375" style="357" customWidth="1"/>
    <col min="14089" max="14089" width="11.7109375" style="357" customWidth="1"/>
    <col min="14090" max="14090" width="15.7109375" style="357" customWidth="1"/>
    <col min="14091" max="14091" width="11.7109375" style="357" customWidth="1"/>
    <col min="14092" max="14092" width="10.7109375" style="357"/>
    <col min="14093" max="14093" width="10.5703125" style="357" customWidth="1"/>
    <col min="14094" max="14336" width="10.7109375" style="357"/>
    <col min="14337" max="14337" width="12.7109375" style="357" customWidth="1"/>
    <col min="14338" max="14338" width="13.42578125" style="357" customWidth="1"/>
    <col min="14339" max="14343" width="11.7109375" style="357" customWidth="1"/>
    <col min="14344" max="14344" width="13.7109375" style="357" customWidth="1"/>
    <col min="14345" max="14345" width="11.7109375" style="357" customWidth="1"/>
    <col min="14346" max="14346" width="15.7109375" style="357" customWidth="1"/>
    <col min="14347" max="14347" width="11.7109375" style="357" customWidth="1"/>
    <col min="14348" max="14348" width="10.7109375" style="357"/>
    <col min="14349" max="14349" width="10.5703125" style="357" customWidth="1"/>
    <col min="14350" max="14592" width="10.7109375" style="357"/>
    <col min="14593" max="14593" width="12.7109375" style="357" customWidth="1"/>
    <col min="14594" max="14594" width="13.42578125" style="357" customWidth="1"/>
    <col min="14595" max="14599" width="11.7109375" style="357" customWidth="1"/>
    <col min="14600" max="14600" width="13.7109375" style="357" customWidth="1"/>
    <col min="14601" max="14601" width="11.7109375" style="357" customWidth="1"/>
    <col min="14602" max="14602" width="15.7109375" style="357" customWidth="1"/>
    <col min="14603" max="14603" width="11.7109375" style="357" customWidth="1"/>
    <col min="14604" max="14604" width="10.7109375" style="357"/>
    <col min="14605" max="14605" width="10.5703125" style="357" customWidth="1"/>
    <col min="14606" max="14848" width="10.7109375" style="357"/>
    <col min="14849" max="14849" width="12.7109375" style="357" customWidth="1"/>
    <col min="14850" max="14850" width="13.42578125" style="357" customWidth="1"/>
    <col min="14851" max="14855" width="11.7109375" style="357" customWidth="1"/>
    <col min="14856" max="14856" width="13.7109375" style="357" customWidth="1"/>
    <col min="14857" max="14857" width="11.7109375" style="357" customWidth="1"/>
    <col min="14858" max="14858" width="15.7109375" style="357" customWidth="1"/>
    <col min="14859" max="14859" width="11.7109375" style="357" customWidth="1"/>
    <col min="14860" max="14860" width="10.7109375" style="357"/>
    <col min="14861" max="14861" width="10.5703125" style="357" customWidth="1"/>
    <col min="14862" max="15104" width="10.7109375" style="357"/>
    <col min="15105" max="15105" width="12.7109375" style="357" customWidth="1"/>
    <col min="15106" max="15106" width="13.42578125" style="357" customWidth="1"/>
    <col min="15107" max="15111" width="11.7109375" style="357" customWidth="1"/>
    <col min="15112" max="15112" width="13.7109375" style="357" customWidth="1"/>
    <col min="15113" max="15113" width="11.7109375" style="357" customWidth="1"/>
    <col min="15114" max="15114" width="15.7109375" style="357" customWidth="1"/>
    <col min="15115" max="15115" width="11.7109375" style="357" customWidth="1"/>
    <col min="15116" max="15116" width="10.7109375" style="357"/>
    <col min="15117" max="15117" width="10.5703125" style="357" customWidth="1"/>
    <col min="15118" max="15360" width="10.7109375" style="357"/>
    <col min="15361" max="15361" width="12.7109375" style="357" customWidth="1"/>
    <col min="15362" max="15362" width="13.42578125" style="357" customWidth="1"/>
    <col min="15363" max="15367" width="11.7109375" style="357" customWidth="1"/>
    <col min="15368" max="15368" width="13.7109375" style="357" customWidth="1"/>
    <col min="15369" max="15369" width="11.7109375" style="357" customWidth="1"/>
    <col min="15370" max="15370" width="15.7109375" style="357" customWidth="1"/>
    <col min="15371" max="15371" width="11.7109375" style="357" customWidth="1"/>
    <col min="15372" max="15372" width="10.7109375" style="357"/>
    <col min="15373" max="15373" width="10.5703125" style="357" customWidth="1"/>
    <col min="15374" max="15616" width="10.7109375" style="357"/>
    <col min="15617" max="15617" width="12.7109375" style="357" customWidth="1"/>
    <col min="15618" max="15618" width="13.42578125" style="357" customWidth="1"/>
    <col min="15619" max="15623" width="11.7109375" style="357" customWidth="1"/>
    <col min="15624" max="15624" width="13.7109375" style="357" customWidth="1"/>
    <col min="15625" max="15625" width="11.7109375" style="357" customWidth="1"/>
    <col min="15626" max="15626" width="15.7109375" style="357" customWidth="1"/>
    <col min="15627" max="15627" width="11.7109375" style="357" customWidth="1"/>
    <col min="15628" max="15628" width="10.7109375" style="357"/>
    <col min="15629" max="15629" width="10.5703125" style="357" customWidth="1"/>
    <col min="15630" max="15872" width="10.7109375" style="357"/>
    <col min="15873" max="15873" width="12.7109375" style="357" customWidth="1"/>
    <col min="15874" max="15874" width="13.42578125" style="357" customWidth="1"/>
    <col min="15875" max="15879" width="11.7109375" style="357" customWidth="1"/>
    <col min="15880" max="15880" width="13.7109375" style="357" customWidth="1"/>
    <col min="15881" max="15881" width="11.7109375" style="357" customWidth="1"/>
    <col min="15882" max="15882" width="15.7109375" style="357" customWidth="1"/>
    <col min="15883" max="15883" width="11.7109375" style="357" customWidth="1"/>
    <col min="15884" max="15884" width="10.7109375" style="357"/>
    <col min="15885" max="15885" width="10.5703125" style="357" customWidth="1"/>
    <col min="15886" max="16128" width="10.7109375" style="357"/>
    <col min="16129" max="16129" width="12.7109375" style="357" customWidth="1"/>
    <col min="16130" max="16130" width="13.42578125" style="357" customWidth="1"/>
    <col min="16131" max="16135" width="11.7109375" style="357" customWidth="1"/>
    <col min="16136" max="16136" width="13.7109375" style="357" customWidth="1"/>
    <col min="16137" max="16137" width="11.7109375" style="357" customWidth="1"/>
    <col min="16138" max="16138" width="15.7109375" style="357" customWidth="1"/>
    <col min="16139" max="16139" width="11.7109375" style="357" customWidth="1"/>
    <col min="16140" max="16140" width="10.7109375" style="357"/>
    <col min="16141" max="16141" width="10.5703125" style="357" customWidth="1"/>
    <col min="16142" max="16384" width="10.7109375" style="357"/>
  </cols>
  <sheetData>
    <row r="1" spans="1:14" s="336" customFormat="1" ht="15" customHeight="1" x14ac:dyDescent="0.2">
      <c r="A1" s="330"/>
      <c r="B1" s="331"/>
      <c r="C1" s="332" t="s">
        <v>60</v>
      </c>
      <c r="D1" s="333"/>
      <c r="E1" s="490" t="s">
        <v>61</v>
      </c>
      <c r="F1" s="491"/>
      <c r="G1" s="491"/>
      <c r="H1" s="492"/>
      <c r="I1" s="334"/>
      <c r="J1" s="331"/>
      <c r="K1" s="335"/>
    </row>
    <row r="2" spans="1:14" s="336" customFormat="1" ht="40.5" customHeight="1" x14ac:dyDescent="0.2">
      <c r="A2" s="337"/>
      <c r="B2" s="338"/>
      <c r="C2" s="339"/>
      <c r="D2" s="340"/>
      <c r="E2" s="493"/>
      <c r="F2" s="494"/>
      <c r="G2" s="494"/>
      <c r="H2" s="495"/>
      <c r="I2" s="341"/>
      <c r="J2" s="342"/>
      <c r="K2" s="343"/>
    </row>
    <row r="3" spans="1:14" s="336" customFormat="1" ht="15" customHeight="1" x14ac:dyDescent="0.2">
      <c r="A3" s="496" t="s">
        <v>351</v>
      </c>
      <c r="B3" s="497"/>
      <c r="C3" s="497"/>
      <c r="D3" s="498"/>
      <c r="E3" s="344" t="s">
        <v>62</v>
      </c>
      <c r="F3" s="345" t="s">
        <v>352</v>
      </c>
      <c r="G3" s="346"/>
      <c r="H3" s="347"/>
      <c r="I3" s="348" t="s">
        <v>353</v>
      </c>
      <c r="J3" s="499">
        <v>2007</v>
      </c>
      <c r="K3" s="500"/>
    </row>
    <row r="4" spans="1:14" s="336" customFormat="1" x14ac:dyDescent="0.2">
      <c r="A4" s="349"/>
      <c r="B4" s="349"/>
      <c r="C4" s="349"/>
      <c r="D4" s="349"/>
      <c r="E4" s="349"/>
      <c r="F4" s="349"/>
      <c r="G4" s="349"/>
      <c r="H4" s="349"/>
      <c r="I4" s="349"/>
      <c r="J4" s="350"/>
      <c r="K4" s="350"/>
    </row>
    <row r="5" spans="1:14" s="336" customFormat="1" ht="25.5" x14ac:dyDescent="0.2">
      <c r="A5" s="349"/>
      <c r="B5" s="349"/>
      <c r="C5" s="349"/>
      <c r="D5" s="349"/>
      <c r="E5" s="349"/>
      <c r="F5" s="349"/>
      <c r="G5" s="421" t="s">
        <v>498</v>
      </c>
      <c r="H5" s="421" t="s">
        <v>499</v>
      </c>
      <c r="I5" s="351"/>
      <c r="J5" s="350"/>
      <c r="K5" s="350"/>
    </row>
    <row r="6" spans="1:14" s="336" customFormat="1" x14ac:dyDescent="0.2">
      <c r="A6" s="349"/>
      <c r="B6" s="349"/>
      <c r="C6" s="349"/>
      <c r="D6" s="349"/>
      <c r="E6" s="349"/>
      <c r="F6" s="349"/>
      <c r="G6" s="422" t="s">
        <v>500</v>
      </c>
      <c r="H6" s="422">
        <f>iohsb1!B6</f>
        <v>3</v>
      </c>
      <c r="I6" s="351"/>
      <c r="J6" s="350"/>
      <c r="K6" s="350"/>
    </row>
    <row r="7" spans="1:14" s="336" customFormat="1" x14ac:dyDescent="0.2">
      <c r="A7" s="349"/>
      <c r="B7" s="349"/>
      <c r="C7" s="349"/>
      <c r="D7" s="349"/>
      <c r="E7" s="349"/>
      <c r="F7" s="349"/>
      <c r="G7" s="422" t="s">
        <v>497</v>
      </c>
      <c r="H7" s="422">
        <f>iohsb1!B7</f>
        <v>1</v>
      </c>
      <c r="I7" s="351"/>
      <c r="J7" s="350"/>
      <c r="K7" s="350"/>
    </row>
    <row r="8" spans="1:14" s="336" customFormat="1" x14ac:dyDescent="0.2">
      <c r="A8" s="349"/>
      <c r="B8" s="349"/>
      <c r="C8" s="349"/>
      <c r="D8" s="349"/>
      <c r="E8" s="349"/>
      <c r="F8" s="349"/>
      <c r="G8" s="422" t="s">
        <v>501</v>
      </c>
      <c r="H8" s="422">
        <f>iohsb1!B8</f>
        <v>2</v>
      </c>
      <c r="I8" s="351"/>
      <c r="J8" s="350"/>
      <c r="K8" s="350"/>
    </row>
    <row r="9" spans="1:14" s="336" customFormat="1" x14ac:dyDescent="0.2">
      <c r="A9" s="349"/>
      <c r="B9" s="349"/>
      <c r="C9" s="349"/>
      <c r="D9" s="349"/>
      <c r="E9" s="349"/>
      <c r="F9" s="349"/>
      <c r="G9" s="349"/>
      <c r="H9" s="352"/>
      <c r="I9" s="351"/>
      <c r="J9" s="353"/>
      <c r="K9" s="353"/>
    </row>
    <row r="10" spans="1:14" s="336" customFormat="1" x14ac:dyDescent="0.2">
      <c r="A10" s="349"/>
      <c r="B10" s="349"/>
      <c r="C10" s="349"/>
      <c r="D10" s="349"/>
      <c r="E10" s="349"/>
      <c r="F10" s="349"/>
      <c r="G10" s="349"/>
      <c r="H10" s="349"/>
      <c r="I10" s="351"/>
      <c r="J10" s="350"/>
      <c r="K10" s="350"/>
    </row>
    <row r="11" spans="1:14" s="356" customFormat="1" ht="12" x14ac:dyDescent="0.2">
      <c r="A11" s="354"/>
      <c r="B11" s="355"/>
      <c r="C11" s="355"/>
      <c r="D11" s="355"/>
      <c r="E11" s="355"/>
      <c r="F11" s="355"/>
      <c r="G11" s="355"/>
      <c r="H11" s="354"/>
      <c r="I11" s="354"/>
      <c r="J11" s="354"/>
      <c r="K11" s="354"/>
    </row>
    <row r="12" spans="1:14" x14ac:dyDescent="0.2">
      <c r="B12" s="358"/>
    </row>
    <row r="13" spans="1:14" ht="15" customHeight="1" x14ac:dyDescent="0.2">
      <c r="A13" s="359" t="s">
        <v>64</v>
      </c>
    </row>
    <row r="14" spans="1:14" ht="15" customHeight="1" x14ac:dyDescent="0.2">
      <c r="A14" s="360" t="s">
        <v>354</v>
      </c>
    </row>
    <row r="15" spans="1:14" ht="15" customHeight="1" x14ac:dyDescent="0.35">
      <c r="A15" s="360"/>
      <c r="B15" s="357" t="s">
        <v>475</v>
      </c>
      <c r="C15" s="362"/>
      <c r="D15" s="357" t="s">
        <v>1</v>
      </c>
      <c r="E15" s="357" t="s">
        <v>355</v>
      </c>
      <c r="N15" s="361"/>
    </row>
    <row r="16" spans="1:14" ht="17.25" customHeight="1" x14ac:dyDescent="0.35">
      <c r="A16" s="360"/>
      <c r="B16" s="357" t="s">
        <v>476</v>
      </c>
      <c r="C16" s="362">
        <f>hsb1phouse!J16</f>
        <v>73.600321951595831</v>
      </c>
      <c r="D16" s="357" t="s">
        <v>477</v>
      </c>
      <c r="E16" s="357" t="s">
        <v>25</v>
      </c>
      <c r="L16" s="1" t="s">
        <v>603</v>
      </c>
      <c r="M16" s="364"/>
      <c r="N16" s="361"/>
    </row>
    <row r="17" spans="1:14" ht="15" customHeight="1" x14ac:dyDescent="0.35">
      <c r="A17" s="360"/>
      <c r="B17" s="357" t="s">
        <v>478</v>
      </c>
      <c r="C17" s="362">
        <f>hsb1phouse!H17</f>
        <v>499.02004985595414</v>
      </c>
      <c r="E17" s="357" t="s">
        <v>37</v>
      </c>
      <c r="L17" s="1" t="s">
        <v>603</v>
      </c>
      <c r="N17" s="361"/>
    </row>
    <row r="18" spans="1:14" ht="15" customHeight="1" x14ac:dyDescent="0.25">
      <c r="A18" s="360"/>
      <c r="B18" s="365" t="s">
        <v>356</v>
      </c>
      <c r="C18" s="362">
        <v>0.25</v>
      </c>
      <c r="D18" s="357" t="s">
        <v>1</v>
      </c>
      <c r="E18" s="357" t="s">
        <v>357</v>
      </c>
      <c r="K18" s="366"/>
      <c r="L18" s="363" t="s">
        <v>399</v>
      </c>
    </row>
    <row r="19" spans="1:14" ht="15" customHeight="1" x14ac:dyDescent="0.35">
      <c r="A19" s="360"/>
      <c r="B19" s="365" t="s">
        <v>479</v>
      </c>
      <c r="C19" s="362">
        <f>hsb1phouse!D187</f>
        <v>16.88</v>
      </c>
      <c r="D19" s="357" t="s">
        <v>1</v>
      </c>
      <c r="E19" s="357" t="s">
        <v>358</v>
      </c>
      <c r="L19" s="1" t="s">
        <v>603</v>
      </c>
      <c r="M19" s="367"/>
      <c r="N19" s="367"/>
    </row>
    <row r="20" spans="1:14" ht="15" customHeight="1" x14ac:dyDescent="0.35">
      <c r="A20" s="360"/>
      <c r="B20" s="365" t="s">
        <v>480</v>
      </c>
      <c r="C20" s="362">
        <v>1.5</v>
      </c>
      <c r="D20" s="357" t="s">
        <v>3</v>
      </c>
      <c r="E20" s="357" t="s">
        <v>359</v>
      </c>
      <c r="L20" s="363" t="s">
        <v>399</v>
      </c>
    </row>
    <row r="21" spans="1:14" ht="15" customHeight="1" x14ac:dyDescent="0.25">
      <c r="A21" s="360" t="s">
        <v>360</v>
      </c>
      <c r="C21" s="360"/>
      <c r="L21" s="363"/>
    </row>
    <row r="22" spans="1:14" ht="15" customHeight="1" x14ac:dyDescent="0.35">
      <c r="A22" s="360"/>
      <c r="B22" s="365" t="s">
        <v>481</v>
      </c>
      <c r="C22" s="362"/>
      <c r="E22" s="357" t="s">
        <v>361</v>
      </c>
      <c r="L22" s="368"/>
    </row>
    <row r="23" spans="1:14" ht="15" customHeight="1" x14ac:dyDescent="0.35">
      <c r="A23" s="360"/>
      <c r="B23" s="365" t="s">
        <v>482</v>
      </c>
      <c r="C23" s="362">
        <f>VLOOKUP(iohsb1!B17,G6:H8,2,FALSE)</f>
        <v>1</v>
      </c>
      <c r="D23" s="357" t="s">
        <v>1</v>
      </c>
      <c r="E23" s="357" t="s">
        <v>362</v>
      </c>
      <c r="L23" s="363"/>
    </row>
    <row r="24" spans="1:14" ht="15" customHeight="1" x14ac:dyDescent="0.35">
      <c r="A24" s="360"/>
      <c r="B24" s="365" t="s">
        <v>483</v>
      </c>
      <c r="C24" s="362"/>
      <c r="E24" s="357" t="s">
        <v>363</v>
      </c>
      <c r="L24" s="368"/>
    </row>
    <row r="25" spans="1:14" ht="15" customHeight="1" x14ac:dyDescent="0.35">
      <c r="A25" s="360"/>
      <c r="B25" s="365" t="s">
        <v>484</v>
      </c>
      <c r="C25" s="362">
        <f>C23</f>
        <v>1</v>
      </c>
      <c r="D25" s="357" t="s">
        <v>1</v>
      </c>
      <c r="E25" s="357" t="s">
        <v>364</v>
      </c>
      <c r="L25" s="363"/>
    </row>
    <row r="26" spans="1:14" ht="15" customHeight="1" x14ac:dyDescent="0.35">
      <c r="A26" s="360"/>
      <c r="B26" s="365" t="s">
        <v>485</v>
      </c>
      <c r="C26" s="362"/>
      <c r="E26" s="357" t="s">
        <v>365</v>
      </c>
      <c r="L26" s="368"/>
    </row>
    <row r="27" spans="1:14" ht="15" customHeight="1" x14ac:dyDescent="0.35">
      <c r="A27" s="360"/>
      <c r="B27" s="365" t="s">
        <v>486</v>
      </c>
      <c r="C27" s="362">
        <f>C25</f>
        <v>1</v>
      </c>
      <c r="D27" s="357" t="s">
        <v>1</v>
      </c>
      <c r="E27" s="357" t="s">
        <v>366</v>
      </c>
      <c r="L27" s="368"/>
    </row>
    <row r="28" spans="1:14" ht="15" customHeight="1" x14ac:dyDescent="0.25">
      <c r="C28" s="369"/>
      <c r="D28" s="369"/>
    </row>
    <row r="29" spans="1:14" ht="15" customHeight="1" x14ac:dyDescent="0.25">
      <c r="B29" s="369"/>
      <c r="C29" s="369"/>
      <c r="E29" s="369"/>
    </row>
    <row r="30" spans="1:14" ht="15" customHeight="1" x14ac:dyDescent="0.25">
      <c r="B30" s="369"/>
      <c r="C30" s="369"/>
      <c r="D30" s="369"/>
      <c r="E30" s="369"/>
    </row>
    <row r="31" spans="1:14" ht="15" customHeight="1" x14ac:dyDescent="0.25">
      <c r="B31" s="369"/>
      <c r="C31" s="369"/>
      <c r="D31" s="369"/>
      <c r="E31" s="369"/>
    </row>
    <row r="32" spans="1:14" ht="15" customHeight="1" x14ac:dyDescent="0.25">
      <c r="B32" s="369"/>
      <c r="C32" s="369"/>
      <c r="D32" s="369"/>
      <c r="E32" s="369"/>
    </row>
    <row r="33" spans="2:5" ht="15" customHeight="1" x14ac:dyDescent="0.25">
      <c r="B33" s="369"/>
      <c r="C33" s="369"/>
      <c r="D33" s="369"/>
      <c r="E33" s="369"/>
    </row>
    <row r="34" spans="2:5" ht="15" customHeight="1" x14ac:dyDescent="0.25">
      <c r="B34" s="369"/>
      <c r="C34" s="369"/>
      <c r="D34" s="369"/>
      <c r="E34" s="369"/>
    </row>
    <row r="35" spans="2:5" ht="15" customHeight="1" x14ac:dyDescent="0.25">
      <c r="B35" s="369"/>
      <c r="C35" s="369"/>
      <c r="D35" s="369"/>
      <c r="E35" s="369"/>
    </row>
    <row r="36" spans="2:5" ht="15" customHeight="1" x14ac:dyDescent="0.25">
      <c r="B36" s="369"/>
      <c r="C36" s="369"/>
      <c r="D36" s="369"/>
      <c r="E36" s="369"/>
    </row>
    <row r="37" spans="2:5" ht="15" customHeight="1" x14ac:dyDescent="0.25">
      <c r="B37" s="369"/>
      <c r="C37" s="369"/>
      <c r="D37" s="369"/>
      <c r="E37" s="369"/>
    </row>
    <row r="38" spans="2:5" ht="15" customHeight="1" x14ac:dyDescent="0.25">
      <c r="B38" s="369"/>
      <c r="C38" s="369"/>
      <c r="D38" s="369"/>
      <c r="E38" s="369"/>
    </row>
    <row r="39" spans="2:5" ht="15" customHeight="1" x14ac:dyDescent="0.25">
      <c r="B39" s="369"/>
      <c r="C39" s="369"/>
      <c r="D39" s="369"/>
      <c r="E39" s="369"/>
    </row>
    <row r="40" spans="2:5" ht="15" customHeight="1" x14ac:dyDescent="0.25">
      <c r="B40" s="369"/>
      <c r="C40" s="369"/>
      <c r="D40" s="369"/>
      <c r="E40" s="369"/>
    </row>
    <row r="41" spans="2:5" ht="15" customHeight="1" x14ac:dyDescent="0.25">
      <c r="B41" s="369"/>
      <c r="C41" s="369"/>
      <c r="D41" s="369"/>
      <c r="E41" s="369"/>
    </row>
    <row r="42" spans="2:5" ht="15" customHeight="1" x14ac:dyDescent="0.25">
      <c r="B42" s="369"/>
      <c r="C42" s="369"/>
      <c r="D42" s="369"/>
      <c r="E42" s="369"/>
    </row>
    <row r="43" spans="2:5" ht="15" customHeight="1" x14ac:dyDescent="0.25">
      <c r="B43" s="369"/>
      <c r="C43" s="369"/>
      <c r="D43" s="369"/>
      <c r="E43" s="369"/>
    </row>
    <row r="44" spans="2:5" ht="15" customHeight="1" x14ac:dyDescent="0.25">
      <c r="B44" s="369"/>
      <c r="C44" s="369"/>
      <c r="D44" s="369"/>
      <c r="E44" s="369"/>
    </row>
    <row r="45" spans="2:5" ht="15" customHeight="1" x14ac:dyDescent="0.25">
      <c r="B45" s="369"/>
      <c r="C45" s="369"/>
      <c r="D45" s="369"/>
      <c r="E45" s="369"/>
    </row>
    <row r="46" spans="2:5" ht="15" customHeight="1" x14ac:dyDescent="0.25">
      <c r="B46" s="369"/>
      <c r="C46" s="369"/>
      <c r="D46" s="369"/>
      <c r="E46" s="369"/>
    </row>
    <row r="47" spans="2:5" ht="15" customHeight="1" x14ac:dyDescent="0.25">
      <c r="B47" s="369"/>
      <c r="C47" s="369"/>
      <c r="D47" s="369"/>
      <c r="E47" s="369"/>
    </row>
    <row r="48" spans="2:5" ht="15" customHeight="1" x14ac:dyDescent="0.25">
      <c r="B48" s="369"/>
      <c r="C48" s="369"/>
      <c r="D48" s="369"/>
      <c r="E48" s="369"/>
    </row>
    <row r="49" spans="1:6" ht="15" customHeight="1" x14ac:dyDescent="0.2">
      <c r="E49" s="370"/>
    </row>
    <row r="50" spans="1:6" ht="15" customHeight="1" x14ac:dyDescent="0.2">
      <c r="A50" s="359" t="s">
        <v>367</v>
      </c>
    </row>
    <row r="51" spans="1:6" ht="15" customHeight="1" x14ac:dyDescent="0.2">
      <c r="A51" s="359"/>
    </row>
    <row r="52" spans="1:6" ht="15" customHeight="1" x14ac:dyDescent="0.5">
      <c r="A52" s="359"/>
      <c r="B52" s="371" t="s">
        <v>487</v>
      </c>
    </row>
    <row r="53" spans="1:6" ht="15" customHeight="1" x14ac:dyDescent="0.2">
      <c r="A53" s="359"/>
    </row>
    <row r="54" spans="1:6" ht="15" customHeight="1" x14ac:dyDescent="0.2">
      <c r="A54" s="359"/>
      <c r="D54" s="372">
        <f>C16/C20</f>
        <v>49.066881301063887</v>
      </c>
      <c r="E54" s="373" t="s">
        <v>58</v>
      </c>
    </row>
    <row r="55" spans="1:6" ht="15" customHeight="1" x14ac:dyDescent="0.2">
      <c r="A55" s="359"/>
    </row>
    <row r="56" spans="1:6" ht="15" customHeight="1" x14ac:dyDescent="0.5">
      <c r="A56" s="359"/>
      <c r="B56" s="371" t="s">
        <v>488</v>
      </c>
    </row>
    <row r="57" spans="1:6" ht="15" customHeight="1" x14ac:dyDescent="0.2">
      <c r="A57" s="359"/>
      <c r="B57" s="365"/>
      <c r="D57" s="336"/>
      <c r="E57" s="336"/>
      <c r="F57" s="373"/>
    </row>
    <row r="58" spans="1:6" ht="15" customHeight="1" x14ac:dyDescent="0.2">
      <c r="A58" s="359"/>
      <c r="B58" s="365"/>
    </row>
    <row r="59" spans="1:6" ht="15" customHeight="1" x14ac:dyDescent="0.25">
      <c r="A59" s="359"/>
      <c r="B59" s="369"/>
      <c r="C59" s="374"/>
      <c r="D59" s="365"/>
    </row>
    <row r="60" spans="1:6" ht="15" customHeight="1" x14ac:dyDescent="0.25">
      <c r="A60" s="359"/>
      <c r="B60" s="369"/>
      <c r="C60" s="374"/>
      <c r="D60" s="365"/>
    </row>
    <row r="61" spans="1:6" ht="15" customHeight="1" x14ac:dyDescent="0.25">
      <c r="A61" s="359"/>
      <c r="B61" s="369"/>
      <c r="C61" s="374"/>
      <c r="D61" s="365"/>
    </row>
    <row r="62" spans="1:6" ht="15" customHeight="1" x14ac:dyDescent="0.25">
      <c r="A62" s="359"/>
      <c r="B62" s="369"/>
      <c r="C62" s="374"/>
      <c r="D62" s="365"/>
    </row>
    <row r="63" spans="1:6" ht="15" customHeight="1" x14ac:dyDescent="0.25">
      <c r="A63" s="359"/>
      <c r="B63" s="369" t="s">
        <v>368</v>
      </c>
      <c r="C63" s="374"/>
      <c r="D63" s="365"/>
    </row>
    <row r="64" spans="1:6" ht="15" customHeight="1" x14ac:dyDescent="0.25">
      <c r="A64" s="359"/>
      <c r="B64" s="375" t="s">
        <v>369</v>
      </c>
      <c r="C64" s="372">
        <f>IF(C18=0,D54/D68,IF(C18&gt;0,((-D68)+SQRT((D68^2+4*D54*C18)))/(2*C18)))</f>
        <v>3.1326302567042461</v>
      </c>
      <c r="D64" s="373" t="s">
        <v>1</v>
      </c>
    </row>
    <row r="65" spans="1:9" ht="15" customHeight="1" x14ac:dyDescent="0.25">
      <c r="A65" s="359"/>
      <c r="B65" s="369"/>
      <c r="C65" s="374"/>
      <c r="D65" s="365"/>
    </row>
    <row r="66" spans="1:9" ht="15" customHeight="1" x14ac:dyDescent="0.5">
      <c r="A66" s="359"/>
      <c r="B66" s="371" t="s">
        <v>489</v>
      </c>
      <c r="E66" s="370"/>
    </row>
    <row r="67" spans="1:9" ht="15" customHeight="1" x14ac:dyDescent="0.2">
      <c r="A67" s="359"/>
      <c r="E67" s="370"/>
    </row>
    <row r="68" spans="1:9" ht="15" customHeight="1" x14ac:dyDescent="0.2">
      <c r="A68" s="359"/>
      <c r="C68" s="374"/>
      <c r="D68" s="359">
        <f>C19-2</f>
        <v>14.879999999999999</v>
      </c>
      <c r="E68" s="373" t="s">
        <v>1</v>
      </c>
      <c r="F68" s="376"/>
      <c r="G68" s="377"/>
      <c r="H68" s="366"/>
    </row>
    <row r="69" spans="1:9" ht="15" customHeight="1" x14ac:dyDescent="0.2">
      <c r="A69" s="359"/>
      <c r="C69" s="374"/>
      <c r="D69" s="359"/>
      <c r="E69" s="373"/>
      <c r="F69" s="374"/>
      <c r="G69" s="359"/>
      <c r="H69" s="359"/>
    </row>
    <row r="70" spans="1:9" ht="15" customHeight="1" x14ac:dyDescent="0.5">
      <c r="A70" s="359"/>
      <c r="B70" s="371" t="s">
        <v>490</v>
      </c>
      <c r="C70" s="374"/>
      <c r="D70" s="359"/>
      <c r="E70" s="373"/>
      <c r="F70" s="374"/>
      <c r="G70" s="359"/>
      <c r="H70" s="359"/>
    </row>
    <row r="71" spans="1:9" ht="15" customHeight="1" x14ac:dyDescent="0.2">
      <c r="A71" s="359"/>
      <c r="C71" s="374"/>
      <c r="D71" s="359"/>
      <c r="E71" s="373"/>
      <c r="F71" s="374"/>
      <c r="G71" s="359"/>
      <c r="H71" s="359"/>
    </row>
    <row r="72" spans="1:9" ht="15" customHeight="1" x14ac:dyDescent="0.2">
      <c r="A72" s="359"/>
      <c r="C72" s="374"/>
      <c r="D72" s="359">
        <f>C17-C64</f>
        <v>495.88741959924988</v>
      </c>
      <c r="E72" s="373" t="s">
        <v>1</v>
      </c>
      <c r="F72" s="374"/>
      <c r="G72" s="359"/>
      <c r="H72" s="359"/>
    </row>
    <row r="73" spans="1:9" ht="15" customHeight="1" x14ac:dyDescent="0.2">
      <c r="A73" s="359"/>
      <c r="E73" s="370"/>
    </row>
    <row r="74" spans="1:9" ht="15" customHeight="1" x14ac:dyDescent="0.2">
      <c r="A74" s="359"/>
      <c r="D74" s="372"/>
      <c r="E74" s="359"/>
      <c r="F74" s="359"/>
      <c r="G74" s="336"/>
      <c r="H74" s="336"/>
      <c r="I74" s="336"/>
    </row>
    <row r="75" spans="1:9" ht="15" customHeight="1" x14ac:dyDescent="0.2">
      <c r="A75" s="359" t="s">
        <v>370</v>
      </c>
      <c r="G75" s="378"/>
    </row>
    <row r="76" spans="1:9" ht="15" customHeight="1" x14ac:dyDescent="0.2"/>
    <row r="77" spans="1:9" ht="15" customHeight="1" x14ac:dyDescent="0.2">
      <c r="B77" s="357" t="s">
        <v>67</v>
      </c>
    </row>
    <row r="78" spans="1:9" ht="15" customHeight="1" x14ac:dyDescent="0.2"/>
    <row r="79" spans="1:9" ht="15" customHeight="1" x14ac:dyDescent="0.5">
      <c r="B79" s="371" t="s">
        <v>491</v>
      </c>
    </row>
    <row r="80" spans="1:9" ht="15" customHeight="1" x14ac:dyDescent="0.2"/>
    <row r="81" spans="1:11" ht="15" customHeight="1" x14ac:dyDescent="0.25">
      <c r="E81" s="379">
        <f>((I90/2)+I91+I92)*(C15/3)</f>
        <v>0</v>
      </c>
      <c r="F81" s="359" t="s">
        <v>492</v>
      </c>
      <c r="H81" s="376"/>
      <c r="I81" s="377"/>
      <c r="J81" s="366"/>
    </row>
    <row r="82" spans="1:11" ht="15" customHeight="1" x14ac:dyDescent="0.25">
      <c r="E82" s="369"/>
      <c r="F82" s="369"/>
    </row>
    <row r="83" spans="1:11" ht="15" customHeight="1" x14ac:dyDescent="0.25">
      <c r="B83" s="374" t="s">
        <v>65</v>
      </c>
      <c r="E83" s="369"/>
      <c r="F83" s="369"/>
    </row>
    <row r="84" spans="1:11" ht="15" customHeight="1" x14ac:dyDescent="0.25">
      <c r="C84" s="357" t="s">
        <v>371</v>
      </c>
      <c r="E84" s="369"/>
      <c r="F84" s="369"/>
    </row>
    <row r="85" spans="1:11" ht="15" customHeight="1" x14ac:dyDescent="0.25">
      <c r="E85" s="369"/>
      <c r="F85" s="369"/>
      <c r="H85" s="380" t="s">
        <v>394</v>
      </c>
    </row>
    <row r="86" spans="1:11" ht="15" customHeight="1" x14ac:dyDescent="0.25">
      <c r="E86" s="369"/>
      <c r="F86" s="369"/>
      <c r="H86" s="380" t="s">
        <v>395</v>
      </c>
    </row>
    <row r="87" spans="1:11" ht="15" customHeight="1" x14ac:dyDescent="0.25">
      <c r="D87" s="357" t="s">
        <v>241</v>
      </c>
      <c r="E87" s="369"/>
      <c r="F87" s="369"/>
    </row>
    <row r="88" spans="1:11" ht="15" customHeight="1" x14ac:dyDescent="0.25">
      <c r="E88" s="369"/>
      <c r="F88" s="369"/>
      <c r="G88" s="357" t="s">
        <v>372</v>
      </c>
    </row>
    <row r="89" spans="1:11" ht="15" customHeight="1" x14ac:dyDescent="0.25">
      <c r="E89" s="369"/>
      <c r="F89" s="369"/>
    </row>
    <row r="90" spans="1:11" s="360" customFormat="1" ht="15" customHeight="1" x14ac:dyDescent="0.35">
      <c r="A90" s="357"/>
      <c r="B90" s="381"/>
      <c r="D90" s="374" t="s">
        <v>373</v>
      </c>
      <c r="E90" s="370" t="s">
        <v>493</v>
      </c>
      <c r="F90" s="382">
        <f>IF((C22-$D$72)&lt;=C23,0,C22-$D$72-C23)</f>
        <v>0</v>
      </c>
      <c r="G90" s="383" t="s">
        <v>374</v>
      </c>
      <c r="H90" s="384" t="s">
        <v>375</v>
      </c>
      <c r="I90" s="382">
        <f>IF((C22-$D$72)&lt;=C23,IF((C22-$D$72)&lt;=0,0,(4+F90+$D$68+(C22-$D$72)*2)*(C22-$D$72)),(4+F90+$D$68+C23*2)*C23)</f>
        <v>0</v>
      </c>
      <c r="J90" s="365" t="s">
        <v>54</v>
      </c>
      <c r="K90" s="357"/>
    </row>
    <row r="91" spans="1:11" s="360" customFormat="1" ht="15" customHeight="1" x14ac:dyDescent="0.35">
      <c r="A91" s="357"/>
      <c r="B91" s="381"/>
      <c r="D91" s="374" t="s">
        <v>376</v>
      </c>
      <c r="E91" s="370" t="s">
        <v>494</v>
      </c>
      <c r="F91" s="382">
        <f>IF((C24-$D$72)&lt;=C25,0,C24-$D$72-C25)</f>
        <v>0</v>
      </c>
      <c r="G91" s="383" t="s">
        <v>374</v>
      </c>
      <c r="H91" s="384" t="s">
        <v>377</v>
      </c>
      <c r="I91" s="382">
        <f>IF((C24-$D$72)&lt;=C25,IF((C24-$D$72)&lt;=0,0,(4+F91+$D$68+(C24-$D$72)*2)*(C24-$D$72)),(4+F91+$D$68+C25*2)*C25)</f>
        <v>0</v>
      </c>
      <c r="J91" s="365" t="s">
        <v>54</v>
      </c>
      <c r="K91" s="357"/>
    </row>
    <row r="92" spans="1:11" s="360" customFormat="1" ht="15" customHeight="1" x14ac:dyDescent="0.35">
      <c r="A92" s="357"/>
      <c r="B92" s="381"/>
      <c r="D92" s="374" t="s">
        <v>378</v>
      </c>
      <c r="E92" s="370" t="s">
        <v>495</v>
      </c>
      <c r="F92" s="382">
        <f>IF((C26-$D$72)&lt;=C27,0,C26-$D$72-C27)</f>
        <v>0</v>
      </c>
      <c r="G92" s="383" t="s">
        <v>374</v>
      </c>
      <c r="H92" s="384" t="s">
        <v>379</v>
      </c>
      <c r="I92" s="382">
        <f>IF((C26-$D$72)&lt;=C27,IF((C26-$D$72)&lt;=0,0,(4+F92+$D$68+(C26-$D$72)*2)*(C26-$D$72)),(4+F92+$D$68+C27*2)*C27)</f>
        <v>0</v>
      </c>
      <c r="J92" s="365" t="s">
        <v>54</v>
      </c>
      <c r="K92" s="357"/>
    </row>
    <row r="93" spans="1:11" ht="15" customHeight="1" x14ac:dyDescent="0.25">
      <c r="E93" s="369"/>
      <c r="F93" s="369"/>
    </row>
    <row r="94" spans="1:11" ht="15" customHeight="1" x14ac:dyDescent="0.5">
      <c r="B94" s="371" t="s">
        <v>496</v>
      </c>
      <c r="F94" s="369"/>
      <c r="G94" s="369"/>
    </row>
    <row r="95" spans="1:11" ht="15" customHeight="1" x14ac:dyDescent="0.2">
      <c r="D95" s="385"/>
    </row>
    <row r="96" spans="1:11" ht="15" customHeight="1" x14ac:dyDescent="0.25">
      <c r="E96" s="379">
        <f>((I105/2)+I106+I107)*(C15/3)</f>
        <v>0</v>
      </c>
      <c r="F96" s="359" t="s">
        <v>492</v>
      </c>
      <c r="H96" s="376"/>
      <c r="I96" s="377"/>
      <c r="J96" s="366"/>
    </row>
    <row r="97" spans="1:11" ht="15" customHeight="1" x14ac:dyDescent="0.25">
      <c r="E97" s="369"/>
      <c r="F97" s="369"/>
    </row>
    <row r="98" spans="1:11" ht="15" customHeight="1" x14ac:dyDescent="0.25">
      <c r="B98" s="374" t="s">
        <v>65</v>
      </c>
      <c r="E98" s="369"/>
      <c r="F98" s="369"/>
    </row>
    <row r="99" spans="1:11" ht="15" customHeight="1" x14ac:dyDescent="0.25">
      <c r="C99" s="357" t="s">
        <v>371</v>
      </c>
      <c r="E99" s="369"/>
      <c r="F99" s="369"/>
    </row>
    <row r="100" spans="1:11" ht="15" customHeight="1" x14ac:dyDescent="0.25">
      <c r="E100" s="369"/>
      <c r="F100" s="369"/>
      <c r="G100" s="380" t="s">
        <v>393</v>
      </c>
    </row>
    <row r="101" spans="1:11" ht="15" customHeight="1" x14ac:dyDescent="0.25">
      <c r="E101" s="369"/>
      <c r="F101" s="369"/>
    </row>
    <row r="102" spans="1:11" ht="15" customHeight="1" x14ac:dyDescent="0.25">
      <c r="D102" s="357" t="s">
        <v>241</v>
      </c>
      <c r="E102" s="369"/>
      <c r="F102" s="369"/>
    </row>
    <row r="103" spans="1:11" ht="15" customHeight="1" x14ac:dyDescent="0.25">
      <c r="E103" s="369"/>
      <c r="F103" s="369"/>
      <c r="G103" s="357" t="s">
        <v>372</v>
      </c>
    </row>
    <row r="104" spans="1:11" ht="15" customHeight="1" x14ac:dyDescent="0.25">
      <c r="E104" s="369"/>
      <c r="F104" s="369"/>
    </row>
    <row r="105" spans="1:11" s="360" customFormat="1" ht="15" customHeight="1" x14ac:dyDescent="0.35">
      <c r="A105" s="357"/>
      <c r="B105" s="381"/>
      <c r="D105" s="374" t="s">
        <v>373</v>
      </c>
      <c r="E105" s="370" t="s">
        <v>493</v>
      </c>
      <c r="F105" s="382">
        <f>F90</f>
        <v>0</v>
      </c>
      <c r="G105" s="383" t="s">
        <v>374</v>
      </c>
      <c r="H105" s="384" t="s">
        <v>375</v>
      </c>
      <c r="I105" s="382">
        <f>IF(F105&lt;=0,0,($D$68+F105*$C$18)*F105)</f>
        <v>0</v>
      </c>
      <c r="J105" s="365" t="s">
        <v>54</v>
      </c>
      <c r="K105" s="357"/>
    </row>
    <row r="106" spans="1:11" s="360" customFormat="1" ht="15" customHeight="1" x14ac:dyDescent="0.35">
      <c r="A106" s="357"/>
      <c r="B106" s="381"/>
      <c r="D106" s="374" t="s">
        <v>376</v>
      </c>
      <c r="E106" s="370" t="s">
        <v>494</v>
      </c>
      <c r="F106" s="382">
        <f t="shared" ref="F106:F107" si="0">F91</f>
        <v>0</v>
      </c>
      <c r="G106" s="383" t="s">
        <v>374</v>
      </c>
      <c r="H106" s="384" t="s">
        <v>377</v>
      </c>
      <c r="I106" s="382">
        <f>IF(F106&lt;=0,0,($D$68+F106*$C$18)*F106)</f>
        <v>0</v>
      </c>
      <c r="J106" s="365" t="s">
        <v>54</v>
      </c>
      <c r="K106" s="357"/>
    </row>
    <row r="107" spans="1:11" s="360" customFormat="1" ht="15" customHeight="1" x14ac:dyDescent="0.35">
      <c r="A107" s="357"/>
      <c r="B107" s="381"/>
      <c r="D107" s="374" t="s">
        <v>378</v>
      </c>
      <c r="E107" s="370" t="s">
        <v>495</v>
      </c>
      <c r="F107" s="382">
        <f t="shared" si="0"/>
        <v>0</v>
      </c>
      <c r="G107" s="383" t="s">
        <v>374</v>
      </c>
      <c r="H107" s="384" t="s">
        <v>379</v>
      </c>
      <c r="I107" s="382">
        <f>IF(F107&lt;=0,0,($D$68+F107*$C$18)*F107)</f>
        <v>0</v>
      </c>
      <c r="J107" s="365" t="s">
        <v>54</v>
      </c>
      <c r="K107" s="357"/>
    </row>
    <row r="108" spans="1:11" ht="15" customHeight="1" x14ac:dyDescent="0.25">
      <c r="E108" s="369"/>
      <c r="F108" s="369"/>
    </row>
    <row r="109" spans="1:11" ht="15" customHeight="1" x14ac:dyDescent="0.2">
      <c r="A109" s="386" t="s">
        <v>175</v>
      </c>
      <c r="D109" s="387"/>
      <c r="J109" s="388"/>
      <c r="K109" s="389"/>
    </row>
    <row r="110" spans="1:11" ht="15" customHeight="1" thickBot="1" x14ac:dyDescent="0.25">
      <c r="J110" s="374" t="s">
        <v>94</v>
      </c>
    </row>
    <row r="111" spans="1:11" ht="26.25" customHeight="1" x14ac:dyDescent="0.2">
      <c r="B111" s="390"/>
      <c r="C111" s="391"/>
      <c r="D111" s="391"/>
      <c r="E111" s="391"/>
      <c r="F111" s="391"/>
      <c r="G111" s="392"/>
      <c r="H111" s="390"/>
      <c r="I111" s="393" t="s">
        <v>380</v>
      </c>
      <c r="J111" s="394" t="s">
        <v>96</v>
      </c>
    </row>
    <row r="112" spans="1:11" ht="15" customHeight="1" x14ac:dyDescent="0.2">
      <c r="B112" s="395" t="s">
        <v>97</v>
      </c>
      <c r="C112" s="396" t="s">
        <v>98</v>
      </c>
      <c r="D112" s="396"/>
      <c r="E112" s="396"/>
      <c r="F112" s="396"/>
      <c r="G112" s="397" t="s">
        <v>99</v>
      </c>
      <c r="H112" s="398" t="s">
        <v>100</v>
      </c>
      <c r="I112" s="399" t="s">
        <v>76</v>
      </c>
      <c r="J112" s="396" t="s">
        <v>101</v>
      </c>
    </row>
    <row r="113" spans="1:11" ht="15" customHeight="1" thickBot="1" x14ac:dyDescent="0.25">
      <c r="B113" s="400"/>
      <c r="C113" s="401"/>
      <c r="D113" s="401"/>
      <c r="E113" s="401"/>
      <c r="F113" s="401"/>
      <c r="G113" s="402"/>
      <c r="H113" s="403"/>
      <c r="I113" s="404"/>
      <c r="J113" s="405"/>
    </row>
    <row r="114" spans="1:11" s="406" customFormat="1" ht="15" customHeight="1" x14ac:dyDescent="0.2">
      <c r="B114" s="407" t="s">
        <v>381</v>
      </c>
      <c r="C114" s="407" t="s">
        <v>382</v>
      </c>
      <c r="D114" s="407"/>
      <c r="E114" s="407"/>
      <c r="F114" s="407"/>
      <c r="G114" s="407"/>
      <c r="H114" s="407"/>
      <c r="I114" s="407"/>
      <c r="J114" s="408">
        <f>J115</f>
        <v>0</v>
      </c>
    </row>
    <row r="115" spans="1:11" s="406" customFormat="1" ht="15" customHeight="1" x14ac:dyDescent="0.2">
      <c r="B115" s="407" t="s">
        <v>383</v>
      </c>
      <c r="C115" s="407" t="s">
        <v>102</v>
      </c>
      <c r="D115" s="407"/>
      <c r="E115" s="407"/>
      <c r="F115" s="407"/>
      <c r="G115" s="409" t="s">
        <v>103</v>
      </c>
      <c r="H115" s="407"/>
      <c r="I115" s="410"/>
      <c r="J115" s="408">
        <f>SUM(J116:J118)</f>
        <v>0</v>
      </c>
    </row>
    <row r="116" spans="1:11" s="406" customFormat="1" ht="15" customHeight="1" x14ac:dyDescent="0.2">
      <c r="B116" s="407" t="s">
        <v>384</v>
      </c>
      <c r="C116" s="407" t="s">
        <v>104</v>
      </c>
      <c r="D116" s="407"/>
      <c r="E116" s="407"/>
      <c r="F116" s="407"/>
      <c r="G116" s="409" t="s">
        <v>54</v>
      </c>
      <c r="H116" s="408">
        <f>E81</f>
        <v>0</v>
      </c>
      <c r="I116" s="410">
        <v>7.6</v>
      </c>
      <c r="J116" s="408">
        <f>H116*I116/1000</f>
        <v>0</v>
      </c>
      <c r="K116" s="366"/>
    </row>
    <row r="117" spans="1:11" s="406" customFormat="1" ht="15" customHeight="1" x14ac:dyDescent="0.2">
      <c r="B117" s="407" t="s">
        <v>385</v>
      </c>
      <c r="C117" s="407" t="s">
        <v>105</v>
      </c>
      <c r="D117" s="407"/>
      <c r="E117" s="407"/>
      <c r="F117" s="407"/>
      <c r="G117" s="409" t="s">
        <v>54</v>
      </c>
      <c r="H117" s="408">
        <f>E96</f>
        <v>0</v>
      </c>
      <c r="I117" s="410">
        <v>21</v>
      </c>
      <c r="J117" s="408">
        <f>H117*I117/1000</f>
        <v>0</v>
      </c>
      <c r="K117" s="366"/>
    </row>
    <row r="118" spans="1:11" s="406" customFormat="1" ht="15" customHeight="1" x14ac:dyDescent="0.2">
      <c r="B118" s="407" t="s">
        <v>386</v>
      </c>
      <c r="C118" s="407" t="s">
        <v>106</v>
      </c>
      <c r="D118" s="407"/>
      <c r="E118" s="407"/>
      <c r="F118" s="407"/>
      <c r="G118" s="409" t="s">
        <v>54</v>
      </c>
      <c r="H118" s="408"/>
      <c r="I118" s="410"/>
      <c r="J118" s="408">
        <f>H118*I118/1000</f>
        <v>0</v>
      </c>
    </row>
    <row r="119" spans="1:11" s="406" customFormat="1" ht="15" customHeight="1" x14ac:dyDescent="0.2">
      <c r="B119" s="407" t="s">
        <v>387</v>
      </c>
      <c r="C119" s="407" t="s">
        <v>107</v>
      </c>
      <c r="D119" s="407"/>
      <c r="E119" s="407"/>
      <c r="F119" s="407"/>
      <c r="G119" s="409" t="s">
        <v>103</v>
      </c>
      <c r="H119" s="407"/>
      <c r="I119" s="410"/>
      <c r="J119" s="408">
        <f>H119*I119/1000</f>
        <v>0</v>
      </c>
    </row>
    <row r="120" spans="1:11" s="406" customFormat="1" ht="15" customHeight="1" x14ac:dyDescent="0.2">
      <c r="B120" s="407" t="s">
        <v>388</v>
      </c>
      <c r="C120" s="407" t="s">
        <v>108</v>
      </c>
      <c r="D120" s="407"/>
      <c r="E120" s="407"/>
      <c r="F120" s="407"/>
      <c r="G120" s="409" t="s">
        <v>103</v>
      </c>
      <c r="H120" s="407"/>
      <c r="I120" s="410"/>
      <c r="J120" s="408">
        <f>SUM(J121:J123)</f>
        <v>0</v>
      </c>
    </row>
    <row r="121" spans="1:11" s="406" customFormat="1" ht="15" customHeight="1" x14ac:dyDescent="0.2">
      <c r="B121" s="407" t="s">
        <v>389</v>
      </c>
      <c r="C121" s="407" t="s">
        <v>109</v>
      </c>
      <c r="D121" s="407"/>
      <c r="E121" s="407"/>
      <c r="F121" s="407"/>
      <c r="G121" s="409" t="s">
        <v>59</v>
      </c>
      <c r="H121" s="408"/>
      <c r="I121" s="410">
        <v>348</v>
      </c>
      <c r="J121" s="411">
        <f>H121*I121/1000</f>
        <v>0</v>
      </c>
    </row>
    <row r="122" spans="1:11" s="406" customFormat="1" ht="15" customHeight="1" x14ac:dyDescent="0.2">
      <c r="B122" s="407" t="s">
        <v>390</v>
      </c>
      <c r="C122" s="407" t="s">
        <v>110</v>
      </c>
      <c r="D122" s="407"/>
      <c r="E122" s="407"/>
      <c r="F122" s="407"/>
      <c r="G122" s="409" t="s">
        <v>54</v>
      </c>
      <c r="H122" s="408"/>
      <c r="I122" s="410">
        <v>0</v>
      </c>
      <c r="J122" s="408">
        <f>H122*I122/1000</f>
        <v>0</v>
      </c>
    </row>
    <row r="123" spans="1:11" s="406" customFormat="1" ht="15" customHeight="1" x14ac:dyDescent="0.2">
      <c r="B123" s="407" t="s">
        <v>391</v>
      </c>
      <c r="C123" s="407" t="s">
        <v>111</v>
      </c>
      <c r="D123" s="407"/>
      <c r="E123" s="407"/>
      <c r="F123" s="407"/>
      <c r="G123" s="409" t="s">
        <v>59</v>
      </c>
      <c r="H123" s="408"/>
      <c r="I123" s="410">
        <v>4327</v>
      </c>
      <c r="J123" s="411">
        <f>H123*I123/1000</f>
        <v>0</v>
      </c>
    </row>
    <row r="124" spans="1:11" s="406" customFormat="1" ht="15" customHeight="1" thickBot="1" x14ac:dyDescent="0.25">
      <c r="B124" s="412"/>
      <c r="C124" s="412"/>
      <c r="D124" s="412"/>
      <c r="E124" s="412"/>
      <c r="F124" s="412"/>
      <c r="G124" s="412"/>
      <c r="H124" s="412"/>
      <c r="I124" s="412"/>
      <c r="J124" s="412"/>
    </row>
    <row r="125" spans="1:11" x14ac:dyDescent="0.2">
      <c r="A125" s="360"/>
      <c r="B125" s="360"/>
      <c r="C125" s="360"/>
      <c r="D125" s="360"/>
      <c r="E125" s="360"/>
      <c r="F125" s="360"/>
      <c r="G125" s="360"/>
      <c r="H125" s="360"/>
      <c r="I125" s="360"/>
      <c r="J125" s="360"/>
      <c r="K125" s="360"/>
    </row>
    <row r="127" spans="1:11" x14ac:dyDescent="0.2">
      <c r="A127" s="413" t="s">
        <v>210</v>
      </c>
      <c r="B127" s="414"/>
      <c r="C127" s="414"/>
      <c r="D127" s="414"/>
      <c r="E127" s="414"/>
      <c r="F127" s="414"/>
      <c r="G127" s="414"/>
    </row>
    <row r="128" spans="1:11" ht="13.5" thickBot="1" x14ac:dyDescent="0.25">
      <c r="A128" s="413"/>
      <c r="B128" s="414"/>
      <c r="C128" s="414"/>
      <c r="D128" s="414"/>
      <c r="E128" s="414"/>
      <c r="F128" s="414"/>
      <c r="G128" s="414"/>
    </row>
    <row r="129" spans="2:10" x14ac:dyDescent="0.2">
      <c r="B129" s="501" t="s">
        <v>112</v>
      </c>
      <c r="C129" s="503" t="s">
        <v>113</v>
      </c>
      <c r="D129" s="504"/>
      <c r="E129" s="504"/>
      <c r="F129" s="504"/>
      <c r="G129" s="504"/>
      <c r="H129" s="504"/>
      <c r="I129" s="504"/>
      <c r="J129" s="505"/>
    </row>
    <row r="130" spans="2:10" ht="13.5" thickBot="1" x14ac:dyDescent="0.25">
      <c r="B130" s="502"/>
      <c r="C130" s="506"/>
      <c r="D130" s="507"/>
      <c r="E130" s="507"/>
      <c r="F130" s="507"/>
      <c r="G130" s="507"/>
      <c r="H130" s="507"/>
      <c r="I130" s="507"/>
      <c r="J130" s="508"/>
    </row>
    <row r="131" spans="2:10" ht="15" customHeight="1" x14ac:dyDescent="0.2">
      <c r="B131" s="415"/>
      <c r="C131" s="416"/>
      <c r="D131" s="417"/>
      <c r="E131" s="417"/>
      <c r="F131" s="417"/>
      <c r="G131" s="417"/>
      <c r="H131" s="417"/>
      <c r="I131" s="417"/>
      <c r="J131" s="417"/>
    </row>
    <row r="132" spans="2:10" ht="15" customHeight="1" thickBot="1" x14ac:dyDescent="0.25">
      <c r="B132" s="418"/>
      <c r="C132" s="419"/>
      <c r="D132" s="420"/>
      <c r="E132" s="420"/>
      <c r="F132" s="420"/>
      <c r="G132" s="420"/>
      <c r="H132" s="420"/>
      <c r="I132" s="420"/>
      <c r="J132" s="420"/>
    </row>
    <row r="133" spans="2:10" x14ac:dyDescent="0.2">
      <c r="B133" s="360"/>
      <c r="C133" s="360"/>
      <c r="D133" s="360"/>
      <c r="E133" s="360"/>
      <c r="F133" s="360"/>
      <c r="G133" s="360"/>
      <c r="H133" s="360"/>
    </row>
  </sheetData>
  <mergeCells count="5">
    <mergeCell ref="E1:H2"/>
    <mergeCell ref="A3:D3"/>
    <mergeCell ref="J3:K3"/>
    <mergeCell ref="B129:B130"/>
    <mergeCell ref="C129:J130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18433" r:id="rId4">
          <objectPr defaultSize="0" autoLine="0" autoPict="0" r:id="rId5">
            <anchor moveWithCells="1">
              <from>
                <xdr:col>2</xdr:col>
                <xdr:colOff>0</xdr:colOff>
                <xdr:row>52</xdr:row>
                <xdr:rowOff>142875</xdr:rowOff>
              </from>
              <to>
                <xdr:col>3</xdr:col>
                <xdr:colOff>123825</xdr:colOff>
                <xdr:row>54</xdr:row>
                <xdr:rowOff>133350</xdr:rowOff>
              </to>
            </anchor>
          </objectPr>
        </oleObject>
      </mc:Choice>
      <mc:Fallback>
        <oleObject progId="Equation.2" shapeId="18433" r:id="rId4"/>
      </mc:Fallback>
    </mc:AlternateContent>
    <mc:AlternateContent xmlns:mc="http://schemas.openxmlformats.org/markup-compatibility/2006">
      <mc:Choice Requires="x14">
        <oleObject progId="Equation.2" shapeId="18434" r:id="rId6">
          <objectPr defaultSize="0" autoLine="0" autoPict="0" r:id="rId7">
            <anchor moveWithCells="1">
              <from>
                <xdr:col>1</xdr:col>
                <xdr:colOff>809625</xdr:colOff>
                <xdr:row>59</xdr:row>
                <xdr:rowOff>66675</xdr:rowOff>
              </from>
              <to>
                <xdr:col>5</xdr:col>
                <xdr:colOff>142875</xdr:colOff>
                <xdr:row>61</xdr:row>
                <xdr:rowOff>114300</xdr:rowOff>
              </to>
            </anchor>
          </objectPr>
        </oleObject>
      </mc:Choice>
      <mc:Fallback>
        <oleObject progId="Equation.2" shapeId="18434" r:id="rId6"/>
      </mc:Fallback>
    </mc:AlternateContent>
    <mc:AlternateContent xmlns:mc="http://schemas.openxmlformats.org/markup-compatibility/2006">
      <mc:Choice Requires="x14">
        <oleObject progId="Equation.2" shapeId="18435" r:id="rId8">
          <objectPr defaultSize="0" autoLine="0" autoPict="0" r:id="rId9">
            <anchor moveWithCells="1">
              <from>
                <xdr:col>1</xdr:col>
                <xdr:colOff>762000</xdr:colOff>
                <xdr:row>67</xdr:row>
                <xdr:rowOff>19050</xdr:rowOff>
              </from>
              <to>
                <xdr:col>3</xdr:col>
                <xdr:colOff>180975</xdr:colOff>
                <xdr:row>68</xdr:row>
                <xdr:rowOff>47625</xdr:rowOff>
              </to>
            </anchor>
          </objectPr>
        </oleObject>
      </mc:Choice>
      <mc:Fallback>
        <oleObject progId="Equation.2" shapeId="18435" r:id="rId8"/>
      </mc:Fallback>
    </mc:AlternateContent>
    <mc:AlternateContent xmlns:mc="http://schemas.openxmlformats.org/markup-compatibility/2006">
      <mc:Choice Requires="x14">
        <oleObject progId="Equation.2" shapeId="18436" r:id="rId10">
          <objectPr defaultSize="0" autoLine="0" autoPict="0" r:id="rId11">
            <anchor moveWithCells="1">
              <from>
                <xdr:col>1</xdr:col>
                <xdr:colOff>304800</xdr:colOff>
                <xdr:row>79</xdr:row>
                <xdr:rowOff>142875</xdr:rowOff>
              </from>
              <to>
                <xdr:col>4</xdr:col>
                <xdr:colOff>47625</xdr:colOff>
                <xdr:row>81</xdr:row>
                <xdr:rowOff>133350</xdr:rowOff>
              </to>
            </anchor>
          </objectPr>
        </oleObject>
      </mc:Choice>
      <mc:Fallback>
        <oleObject progId="Equation.2" shapeId="18436" r:id="rId10"/>
      </mc:Fallback>
    </mc:AlternateContent>
    <mc:AlternateContent xmlns:mc="http://schemas.openxmlformats.org/markup-compatibility/2006">
      <mc:Choice Requires="x14">
        <oleObject progId="Equation.2" shapeId="18437" r:id="rId12">
          <objectPr defaultSize="0" autoLine="0" autoPict="0" r:id="rId13">
            <anchor moveWithCells="1">
              <from>
                <xdr:col>1</xdr:col>
                <xdr:colOff>762000</xdr:colOff>
                <xdr:row>71</xdr:row>
                <xdr:rowOff>19050</xdr:rowOff>
              </from>
              <to>
                <xdr:col>3</xdr:col>
                <xdr:colOff>152400</xdr:colOff>
                <xdr:row>72</xdr:row>
                <xdr:rowOff>19050</xdr:rowOff>
              </to>
            </anchor>
          </objectPr>
        </oleObject>
      </mc:Choice>
      <mc:Fallback>
        <oleObject progId="Equation.2" shapeId="18437" r:id="rId12"/>
      </mc:Fallback>
    </mc:AlternateContent>
    <mc:AlternateContent xmlns:mc="http://schemas.openxmlformats.org/markup-compatibility/2006">
      <mc:Choice Requires="x14">
        <oleObject progId="Documento" shapeId="18438" r:id="rId14">
          <objectPr defaultSize="0" autoLine="0" r:id="rId15">
            <anchor moveWithCells="1">
              <from>
                <xdr:col>1</xdr:col>
                <xdr:colOff>371475</xdr:colOff>
                <xdr:row>30</xdr:row>
                <xdr:rowOff>123825</xdr:rowOff>
              </from>
              <to>
                <xdr:col>10</xdr:col>
                <xdr:colOff>371475</xdr:colOff>
                <xdr:row>45</xdr:row>
                <xdr:rowOff>0</xdr:rowOff>
              </to>
            </anchor>
          </objectPr>
        </oleObject>
      </mc:Choice>
      <mc:Fallback>
        <oleObject progId="Documento" shapeId="18438" r:id="rId14"/>
      </mc:Fallback>
    </mc:AlternateContent>
    <mc:AlternateContent xmlns:mc="http://schemas.openxmlformats.org/markup-compatibility/2006">
      <mc:Choice Requires="x14">
        <oleObject progId="Equation.2" shapeId="18439" r:id="rId16">
          <objectPr defaultSize="0" autoLine="0" autoPict="0" r:id="rId17">
            <anchor moveWithCells="1">
              <from>
                <xdr:col>2</xdr:col>
                <xdr:colOff>247650</xdr:colOff>
                <xdr:row>84</xdr:row>
                <xdr:rowOff>85725</xdr:rowOff>
              </from>
              <to>
                <xdr:col>6</xdr:col>
                <xdr:colOff>152400</xdr:colOff>
                <xdr:row>85</xdr:row>
                <xdr:rowOff>104775</xdr:rowOff>
              </to>
            </anchor>
          </objectPr>
        </oleObject>
      </mc:Choice>
      <mc:Fallback>
        <oleObject progId="Equation.2" shapeId="18439" r:id="rId16"/>
      </mc:Fallback>
    </mc:AlternateContent>
    <mc:AlternateContent xmlns:mc="http://schemas.openxmlformats.org/markup-compatibility/2006">
      <mc:Choice Requires="x14">
        <oleObject progId="Equation.2" shapeId="18440" r:id="rId18">
          <objectPr defaultSize="0" autoLine="0" autoPict="0" r:id="rId19">
            <anchor moveWithCells="1">
              <from>
                <xdr:col>3</xdr:col>
                <xdr:colOff>180975</xdr:colOff>
                <xdr:row>87</xdr:row>
                <xdr:rowOff>28575</xdr:rowOff>
              </from>
              <to>
                <xdr:col>5</xdr:col>
                <xdr:colOff>104775</xdr:colOff>
                <xdr:row>88</xdr:row>
                <xdr:rowOff>38100</xdr:rowOff>
              </to>
            </anchor>
          </objectPr>
        </oleObject>
      </mc:Choice>
      <mc:Fallback>
        <oleObject progId="Equation.2" shapeId="18440" r:id="rId18"/>
      </mc:Fallback>
    </mc:AlternateContent>
    <mc:AlternateContent xmlns:mc="http://schemas.openxmlformats.org/markup-compatibility/2006">
      <mc:Choice Requires="x14">
        <oleObject progId="Equation.2" shapeId="18441" r:id="rId20">
          <objectPr defaultSize="0" autoLine="0" autoPict="0" r:id="rId21">
            <anchor moveWithCells="1">
              <from>
                <xdr:col>1</xdr:col>
                <xdr:colOff>304800</xdr:colOff>
                <xdr:row>94</xdr:row>
                <xdr:rowOff>142875</xdr:rowOff>
              </from>
              <to>
                <xdr:col>4</xdr:col>
                <xdr:colOff>47625</xdr:colOff>
                <xdr:row>96</xdr:row>
                <xdr:rowOff>133350</xdr:rowOff>
              </to>
            </anchor>
          </objectPr>
        </oleObject>
      </mc:Choice>
      <mc:Fallback>
        <oleObject progId="Equation.2" shapeId="18441" r:id="rId20"/>
      </mc:Fallback>
    </mc:AlternateContent>
    <mc:AlternateContent xmlns:mc="http://schemas.openxmlformats.org/markup-compatibility/2006">
      <mc:Choice Requires="x14">
        <oleObject progId="Equation.2" shapeId="18442" r:id="rId22">
          <objectPr defaultSize="0" autoLine="0" autoPict="0" r:id="rId23">
            <anchor moveWithCells="1">
              <from>
                <xdr:col>2</xdr:col>
                <xdr:colOff>247650</xdr:colOff>
                <xdr:row>99</xdr:row>
                <xdr:rowOff>85725</xdr:rowOff>
              </from>
              <to>
                <xdr:col>5</xdr:col>
                <xdr:colOff>609600</xdr:colOff>
                <xdr:row>100</xdr:row>
                <xdr:rowOff>95250</xdr:rowOff>
              </to>
            </anchor>
          </objectPr>
        </oleObject>
      </mc:Choice>
      <mc:Fallback>
        <oleObject progId="Equation.2" shapeId="18442" r:id="rId22"/>
      </mc:Fallback>
    </mc:AlternateContent>
    <mc:AlternateContent xmlns:mc="http://schemas.openxmlformats.org/markup-compatibility/2006">
      <mc:Choice Requires="x14">
        <oleObject progId="Equation.2" shapeId="18443" r:id="rId24">
          <objectPr defaultSize="0" autoLine="0" autoPict="0" r:id="rId25">
            <anchor moveWithCells="1">
              <from>
                <xdr:col>1</xdr:col>
                <xdr:colOff>857250</xdr:colOff>
                <xdr:row>56</xdr:row>
                <xdr:rowOff>85725</xdr:rowOff>
              </from>
              <to>
                <xdr:col>3</xdr:col>
                <xdr:colOff>200025</xdr:colOff>
                <xdr:row>58</xdr:row>
                <xdr:rowOff>76200</xdr:rowOff>
              </to>
            </anchor>
          </objectPr>
        </oleObject>
      </mc:Choice>
      <mc:Fallback>
        <oleObject progId="Equation.2" shapeId="18443" r:id="rId2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0A600-3B30-4C3A-90A5-712DDBAAB24A}">
  <dimension ref="A1:E9"/>
  <sheetViews>
    <sheetView tabSelected="1" workbookViewId="0">
      <selection activeCell="E14" sqref="E14"/>
    </sheetView>
  </sheetViews>
  <sheetFormatPr defaultRowHeight="15" x14ac:dyDescent="0.25"/>
  <cols>
    <col min="2" max="2" width="74.5703125" bestFit="1" customWidth="1"/>
    <col min="5" max="5" width="34.5703125" bestFit="1" customWidth="1"/>
  </cols>
  <sheetData>
    <row r="1" spans="1:5" x14ac:dyDescent="0.25">
      <c r="A1" s="509"/>
      <c r="B1" s="509"/>
      <c r="C1" s="509"/>
      <c r="D1" s="509"/>
      <c r="E1" s="509"/>
    </row>
    <row r="2" spans="1:5" x14ac:dyDescent="0.25">
      <c r="A2" s="509"/>
      <c r="B2" s="510" t="s">
        <v>699</v>
      </c>
      <c r="C2" s="511">
        <f>D6/D5/C8</f>
        <v>0.50954029058898431</v>
      </c>
      <c r="D2" s="509"/>
      <c r="E2" s="509"/>
    </row>
    <row r="3" spans="1:5" x14ac:dyDescent="0.25">
      <c r="A3" s="509"/>
      <c r="B3" s="510"/>
      <c r="C3" s="509"/>
      <c r="D3" s="509"/>
      <c r="E3" s="509"/>
    </row>
    <row r="4" spans="1:5" x14ac:dyDescent="0.25">
      <c r="A4" s="509"/>
      <c r="B4" s="510"/>
      <c r="C4" s="509"/>
      <c r="D4" s="512" t="s">
        <v>703</v>
      </c>
      <c r="E4" s="512" t="s">
        <v>704</v>
      </c>
    </row>
    <row r="5" spans="1:5" x14ac:dyDescent="0.25">
      <c r="A5" s="509"/>
      <c r="B5" s="510" t="s">
        <v>700</v>
      </c>
      <c r="C5" s="513" t="s">
        <v>705</v>
      </c>
      <c r="D5" s="514">
        <v>907.18949999999995</v>
      </c>
      <c r="E5" s="515" t="s">
        <v>628</v>
      </c>
    </row>
    <row r="6" spans="1:5" x14ac:dyDescent="0.25">
      <c r="A6" s="509"/>
      <c r="B6" s="510" t="s">
        <v>701</v>
      </c>
      <c r="C6" s="513">
        <v>43678</v>
      </c>
      <c r="D6" s="514">
        <v>1913.71335</v>
      </c>
      <c r="E6" s="515" t="s">
        <v>628</v>
      </c>
    </row>
    <row r="7" spans="1:5" x14ac:dyDescent="0.25">
      <c r="A7" s="509"/>
      <c r="B7" s="510"/>
      <c r="C7" s="509"/>
      <c r="D7" s="509"/>
      <c r="E7" s="509"/>
    </row>
    <row r="8" spans="1:5" x14ac:dyDescent="0.25">
      <c r="A8" s="509"/>
      <c r="B8" s="510" t="s">
        <v>702</v>
      </c>
      <c r="C8" s="509">
        <v>4.1399999999999997</v>
      </c>
      <c r="D8" s="509"/>
      <c r="E8" s="509"/>
    </row>
    <row r="9" spans="1:5" x14ac:dyDescent="0.25">
      <c r="B9" s="462"/>
    </row>
  </sheetData>
  <hyperlinks>
    <hyperlink ref="E5" r:id="rId1" xr:uid="{4DF30D14-05F8-46FF-B274-F6B43C64A2ED}"/>
    <hyperlink ref="E6" r:id="rId2" xr:uid="{FCC69AB9-3A7F-4968-858D-EB555CD73628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iohsb1</vt:lpstr>
      <vt:lpstr>hsb1intake</vt:lpstr>
      <vt:lpstr>hsb1phouse</vt:lpstr>
      <vt:lpstr>hsb1tailrace</vt:lpstr>
      <vt:lpstr>convert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Rodolpho Sauret Cavalcanti de Albuquerque</dc:creator>
  <cp:lastModifiedBy>Luiz Rodolpho Sauret Cavalcanti de Albuquerque</cp:lastModifiedBy>
  <dcterms:created xsi:type="dcterms:W3CDTF">2017-02-02T09:51:35Z</dcterms:created>
  <dcterms:modified xsi:type="dcterms:W3CDTF">2019-09-20T14:10:00Z</dcterms:modified>
</cp:coreProperties>
</file>